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020" windowHeight="8505" activeTab="0"/>
  </bookViews>
  <sheets>
    <sheet name="FC - przeglądy" sheetId="1" r:id="rId1"/>
  </sheets>
  <definedNames>
    <definedName name="_xlnm.Print_Area" localSheetId="0">'FC - przeglądy'!$A$1:$O$224</definedName>
    <definedName name="_xlnm.Print_Titles" localSheetId="0">'FC - przeglądy'!$1:$5</definedName>
  </definedNames>
  <calcPr fullCalcOnLoad="1"/>
</workbook>
</file>

<file path=xl/sharedStrings.xml><?xml version="1.0" encoding="utf-8"?>
<sst xmlns="http://schemas.openxmlformats.org/spreadsheetml/2006/main" count="478" uniqueCount="193">
  <si>
    <t>Monitor do oznaczania stężenia tlenu w tkance mózgu</t>
  </si>
  <si>
    <t>Stanowisko resuscytacyjno-operacyjne dla noworodków</t>
  </si>
  <si>
    <t>Diatermia</t>
  </si>
  <si>
    <t>VAT %</t>
  </si>
  <si>
    <t>RAZEM</t>
  </si>
  <si>
    <t>Aparat do krioterapii</t>
  </si>
  <si>
    <t>Kriosan</t>
  </si>
  <si>
    <t>videogastroskop zabiegowy</t>
  </si>
  <si>
    <t>BleaseSirius, Ultraview SL2700</t>
  </si>
  <si>
    <t>MEDRAD MARK 7</t>
  </si>
  <si>
    <t>MEDRAD STELLANT CT</t>
  </si>
  <si>
    <t xml:space="preserve">SPECTRIS SOLARIS EP </t>
  </si>
  <si>
    <t>L.p.</t>
  </si>
  <si>
    <t>Rigiel</t>
  </si>
  <si>
    <t>LXP-1</t>
  </si>
  <si>
    <t>Typ urządzenia</t>
  </si>
  <si>
    <t>Producent i rok produkcji urządzenia</t>
  </si>
  <si>
    <t>Ilość miesięcy</t>
  </si>
  <si>
    <t>Wartość netto za przegląd techniczny</t>
  </si>
  <si>
    <t>Kwota VAT za przegląd techniczny</t>
  </si>
  <si>
    <t>Wartość brutto za przegląd</t>
  </si>
  <si>
    <t>Wartość netto za usługi przeglądów technicznych</t>
  </si>
  <si>
    <t>Kwota VAT za usługi przeglądów technicznych</t>
  </si>
  <si>
    <t>Wartość brutto za usługi przeglądów technicznych</t>
  </si>
  <si>
    <t>UWAGI</t>
  </si>
  <si>
    <t>ZADANIE 1</t>
  </si>
  <si>
    <t>-</t>
  </si>
  <si>
    <t>[8x9]</t>
  </si>
  <si>
    <t>[8+10]</t>
  </si>
  <si>
    <t>[5x7x8]</t>
  </si>
  <si>
    <t>[5x7x10]</t>
  </si>
  <si>
    <t>[5x7x11]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</si>
  <si>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</si>
  <si>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</si>
  <si>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</si>
  <si>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</si>
  <si>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</si>
  <si>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</si>
  <si>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</si>
  <si>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</si>
  <si>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</si>
  <si>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</si>
  <si>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</si>
  <si>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</si>
  <si>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</si>
  <si>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</si>
  <si>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</si>
  <si>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</si>
  <si>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</si>
  <si>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</si>
  <si>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</si>
  <si>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ZADANIE 21</t>
  </si>
  <si>
    <t>ZADANIE 22</t>
  </si>
  <si>
    <t>ZADANIE 23</t>
  </si>
  <si>
    <t>ZADANIE 24</t>
  </si>
  <si>
    <t>ZADANIE 25</t>
  </si>
  <si>
    <t>ZADANIE 26</t>
  </si>
  <si>
    <t>ZADANIE 27</t>
  </si>
  <si>
    <t>ZADANIE 28</t>
  </si>
  <si>
    <t>ZADANIE 29</t>
  </si>
  <si>
    <t>ZADANIE 30</t>
  </si>
  <si>
    <t>ZADANIE 31</t>
  </si>
  <si>
    <t>ZADANIE 32</t>
  </si>
  <si>
    <t>ZADANIE 33</t>
  </si>
  <si>
    <t>ZADANIE 34</t>
  </si>
  <si>
    <t>ZADANIE 35</t>
  </si>
  <si>
    <t>ZADANIE 36</t>
  </si>
  <si>
    <t>ZADANIE 37</t>
  </si>
  <si>
    <t>ZADANIE 38</t>
  </si>
  <si>
    <t>ZADANIE 39</t>
  </si>
  <si>
    <t>ZADANIE 40</t>
  </si>
  <si>
    <t>ZADANIE 41</t>
  </si>
  <si>
    <t>ZADANIE 42</t>
  </si>
  <si>
    <t>ZADANIE 43</t>
  </si>
  <si>
    <t>ZADANIE 44</t>
  </si>
  <si>
    <t>ZADANIE 45</t>
  </si>
  <si>
    <t>ZADANIE 46</t>
  </si>
  <si>
    <t>ZADANIE 47</t>
  </si>
  <si>
    <t>ZADANIE 48</t>
  </si>
  <si>
    <t>ZADANIE 49</t>
  </si>
  <si>
    <t>ZADANIE 50</t>
  </si>
  <si>
    <t>ZADANIE 51</t>
  </si>
  <si>
    <t>ZADANIE 52</t>
  </si>
  <si>
    <t>ZADANIE 53</t>
  </si>
  <si>
    <t>ZADANIE 54</t>
  </si>
  <si>
    <t>ZADANIE 55</t>
  </si>
  <si>
    <t>ZADANIE 56</t>
  </si>
  <si>
    <t>ZADANIE 57</t>
  </si>
  <si>
    <t>ZADANIE 58</t>
  </si>
  <si>
    <t>ZADANIE 59</t>
  </si>
  <si>
    <t>ZADANIE 60</t>
  </si>
  <si>
    <t>ZADANIE 61</t>
  </si>
  <si>
    <t>ZADANIE 62</t>
  </si>
  <si>
    <t>ZADANIE 63</t>
  </si>
  <si>
    <t>ZADANIE 64</t>
  </si>
  <si>
    <t>ZADANIE 65</t>
  </si>
  <si>
    <t>ZADANIE 66</t>
  </si>
  <si>
    <t>ZADANIE 67</t>
  </si>
  <si>
    <t>ZADANIE 68</t>
  </si>
  <si>
    <t>Meden Inmed, 2015</t>
  </si>
  <si>
    <t>Biodex, 2015</t>
  </si>
  <si>
    <t>Ouinton, 2009</t>
  </si>
  <si>
    <t>NDS Surical, 2015</t>
  </si>
  <si>
    <t>Trumpf, 2001</t>
  </si>
  <si>
    <t>Trumpf, 2015</t>
  </si>
  <si>
    <t>Maquet, 2013</t>
  </si>
  <si>
    <t>Bard, 2011</t>
  </si>
  <si>
    <t>Drager, 2016</t>
  </si>
  <si>
    <t>Erbe, 2017</t>
  </si>
  <si>
    <t>Erbe, 2015</t>
  </si>
  <si>
    <t>Erbe, 2012</t>
  </si>
  <si>
    <t>Apparatus, 2015</t>
  </si>
  <si>
    <t>Bowa International, 2015</t>
  </si>
  <si>
    <t>Valleylab, 2014</t>
  </si>
  <si>
    <t>Valleylab, 2013</t>
  </si>
  <si>
    <t>Valleylab, 2011</t>
  </si>
  <si>
    <t>GMS Gesellschaft Sondentechnik, 2012</t>
  </si>
  <si>
    <t>SPACE LABS, 2014</t>
  </si>
  <si>
    <t xml:space="preserve">Edwards Lifesciences, 2013 </t>
  </si>
  <si>
    <t>Schiller, 2016</t>
  </si>
  <si>
    <t>Polimed, 2012</t>
  </si>
  <si>
    <t>AccuVein Inc, 2014</t>
  </si>
  <si>
    <t>Stockert Gmbh, 2011</t>
  </si>
  <si>
    <t>Sonel, 2014</t>
  </si>
  <si>
    <t>Canberra Technol, 2015</t>
  </si>
  <si>
    <t>Meraserw-9, 2007</t>
  </si>
  <si>
    <t>AC International East, 2011</t>
  </si>
  <si>
    <t>Physio control, 2001</t>
  </si>
  <si>
    <t>Physio control, 2008</t>
  </si>
  <si>
    <t>Physio control, 2004</t>
  </si>
  <si>
    <t>Physio control, 2003</t>
  </si>
  <si>
    <t>Physio control, 2009</t>
  </si>
  <si>
    <t>Physio control, 2007</t>
  </si>
  <si>
    <t>Philips, 2007</t>
  </si>
  <si>
    <t>Mindray, 2011</t>
  </si>
  <si>
    <t>Mindray, 2013</t>
  </si>
  <si>
    <t>Mindray, 2014</t>
  </si>
  <si>
    <t>Mindray, 2015</t>
  </si>
  <si>
    <t>Aloka, 2004</t>
  </si>
  <si>
    <t>Aloka, 2009</t>
  </si>
  <si>
    <t>Aloka, 2011</t>
  </si>
  <si>
    <t>Aloka, 2013</t>
  </si>
  <si>
    <t>Aloka, 2015</t>
  </si>
  <si>
    <t>Aloka, 2010</t>
  </si>
  <si>
    <t>HITACHI, 2015</t>
  </si>
  <si>
    <t>GE Medinco, 2015</t>
  </si>
  <si>
    <t>Briel, 2011</t>
  </si>
  <si>
    <t>Esaote Europe, 2011</t>
  </si>
  <si>
    <t>Kriosystem, 1994</t>
  </si>
  <si>
    <t>Kriosystem, 1997</t>
  </si>
  <si>
    <t>Fresenius, 2007</t>
  </si>
  <si>
    <t>Datex, 2009</t>
  </si>
  <si>
    <t>Datex, 2006</t>
  </si>
  <si>
    <t>Drager, 2013</t>
  </si>
  <si>
    <t>Syneron Candela, 2015</t>
  </si>
  <si>
    <t>Moller, 2007</t>
  </si>
  <si>
    <t>Leica, 2015</t>
  </si>
  <si>
    <t>NDS Surgical imaging, 2015</t>
  </si>
  <si>
    <t>Olympus,2013</t>
  </si>
  <si>
    <t>Olympus, 2012</t>
  </si>
  <si>
    <t>Pentax, 2015</t>
  </si>
  <si>
    <t>Pentax, 2013</t>
  </si>
  <si>
    <t>Truphater, 2010</t>
  </si>
  <si>
    <t>Skamex, 2014</t>
  </si>
  <si>
    <t>Fujinon, 2009</t>
  </si>
  <si>
    <t>Biotronic, 2008</t>
  </si>
  <si>
    <t>Biotronic, 2014</t>
  </si>
  <si>
    <t>IDMED, 2016</t>
  </si>
  <si>
    <t>B/Braun, 2009</t>
  </si>
  <si>
    <t>B/Braun, 2010</t>
  </si>
  <si>
    <t>Medrat, 2015</t>
  </si>
  <si>
    <t>Medrat, 2014</t>
  </si>
  <si>
    <t>Medrat, 2013</t>
  </si>
  <si>
    <t>NDS Surgical, 2015</t>
  </si>
  <si>
    <t>Aesculap, 2015</t>
  </si>
  <si>
    <t>SYNTHES, 2011</t>
  </si>
  <si>
    <t>MAQUET, 2015</t>
  </si>
  <si>
    <t>Medizin Technika, 2008</t>
  </si>
  <si>
    <t>Datex Ohmeda, 2009</t>
  </si>
  <si>
    <t>Datex Ohmeda, 2006</t>
  </si>
  <si>
    <t>Datex Ohmeda, 2007</t>
  </si>
  <si>
    <t>Datex Ohmeda, 2013</t>
  </si>
  <si>
    <t>Space Labs Medical, 2013</t>
  </si>
  <si>
    <t>Medelec, 2006</t>
  </si>
  <si>
    <t>Medtronik, 2012</t>
  </si>
  <si>
    <t>HITACHI, 2014</t>
  </si>
  <si>
    <t>x</t>
  </si>
  <si>
    <t>Formularz cenowy - przeglądy</t>
  </si>
  <si>
    <t>.................................................................................</t>
  </si>
  <si>
    <t>(data, podpis i pieczęć imienna osoby uprawnionej)</t>
  </si>
  <si>
    <t>Liczba aparatów/urządzeń</t>
  </si>
  <si>
    <t xml:space="preserve">Ilość przeglądów technicznych </t>
  </si>
  <si>
    <r>
      <t xml:space="preserve">Datex Ohmeda, </t>
    </r>
    <r>
      <rPr>
        <sz val="8"/>
        <color indexed="10"/>
        <rFont val="Arial"/>
        <family val="2"/>
      </rPr>
      <t>2000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</si>
</sst>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i/>
      <sz val="6.5"/>
      <name val="Arial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4" fontId="2" fillId="0" borderId="27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11" fillId="0" borderId="56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1" fillId="0" borderId="61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8" fillId="0" borderId="72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8" fillId="0" borderId="10" xfId="0" applyFont="1" applyFill="1" applyBorder="1" applyAlignment="1">
      <alignment horizontal="center"/>
    </xf>
    <xf numFmtId="0" fontId="48" fillId="0" borderId="24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view="pageBreakPreview" zoomScale="90" zoomScaleNormal="85" zoomScaleSheetLayoutView="90" zoomScalePageLayoutView="0" workbookViewId="0" topLeftCell="A196">
      <selection activeCell="I198" sqref="I198"/>
    </sheetView>
  </sheetViews>
  <sheetFormatPr defaultColWidth="9.140625" defaultRowHeight="12.75"/>
  <cols>
    <col min="1" max="1" width="3.421875" style="2" customWidth="1"/>
    <col min="2" max="2" width="23.7109375" style="2" customWidth="1"/>
    <col min="3" max="3" width="18.140625" style="2" customWidth="1"/>
    <col min="4" max="4" width="16.8515625" style="2" customWidth="1"/>
    <col min="5" max="5" width="5.421875" style="2" customWidth="1"/>
    <col min="6" max="6" width="5.00390625" style="4" customWidth="1"/>
    <col min="7" max="7" width="6.00390625" style="5" customWidth="1"/>
    <col min="8" max="8" width="11.28125" style="5" customWidth="1"/>
    <col min="9" max="9" width="4.421875" style="2" customWidth="1"/>
    <col min="10" max="10" width="8.28125" style="2" customWidth="1"/>
    <col min="11" max="11" width="8.140625" style="2" customWidth="1"/>
    <col min="12" max="12" width="9.421875" style="2" customWidth="1"/>
    <col min="13" max="14" width="9.140625" style="2" customWidth="1"/>
    <col min="15" max="15" width="15.8515625" style="2" customWidth="1"/>
    <col min="16" max="16384" width="9.140625" style="2" customWidth="1"/>
  </cols>
  <sheetData>
    <row r="1" spans="1:15" ht="10.5" customHeight="1">
      <c r="A1" s="142" t="s">
        <v>187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</row>
    <row r="2" spans="1:15" ht="11.25" customHeight="1" thickBot="1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7"/>
    </row>
    <row r="3" spans="1:15" ht="66" customHeight="1">
      <c r="A3" s="12" t="s">
        <v>12</v>
      </c>
      <c r="B3" s="13" t="str">
        <f>"Nazwa urządzenia"</f>
        <v>Nazwa urządzenia</v>
      </c>
      <c r="C3" s="14" t="s">
        <v>15</v>
      </c>
      <c r="D3" s="14" t="s">
        <v>16</v>
      </c>
      <c r="E3" s="23" t="s">
        <v>190</v>
      </c>
      <c r="F3" s="22" t="s">
        <v>17</v>
      </c>
      <c r="G3" s="15" t="s">
        <v>191</v>
      </c>
      <c r="H3" s="15" t="s">
        <v>18</v>
      </c>
      <c r="I3" s="15" t="s">
        <v>3</v>
      </c>
      <c r="J3" s="15" t="s">
        <v>19</v>
      </c>
      <c r="K3" s="15" t="s">
        <v>20</v>
      </c>
      <c r="L3" s="15" t="s">
        <v>21</v>
      </c>
      <c r="M3" s="15" t="s">
        <v>22</v>
      </c>
      <c r="N3" s="15" t="s">
        <v>23</v>
      </c>
      <c r="O3" s="16" t="s">
        <v>24</v>
      </c>
    </row>
    <row r="4" spans="1:15" ht="12.75" customHeight="1">
      <c r="A4" s="17">
        <v>1</v>
      </c>
      <c r="B4" s="6">
        <v>2</v>
      </c>
      <c r="C4" s="7">
        <v>3</v>
      </c>
      <c r="D4" s="7">
        <v>4</v>
      </c>
      <c r="E4" s="7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18">
        <v>15</v>
      </c>
    </row>
    <row r="5" spans="1:15" ht="12" customHeight="1" thickBot="1">
      <c r="A5" s="45" t="s">
        <v>26</v>
      </c>
      <c r="B5" s="46" t="s">
        <v>26</v>
      </c>
      <c r="C5" s="46" t="s">
        <v>26</v>
      </c>
      <c r="D5" s="46" t="s">
        <v>26</v>
      </c>
      <c r="E5" s="46" t="s">
        <v>26</v>
      </c>
      <c r="F5" s="46" t="s">
        <v>26</v>
      </c>
      <c r="G5" s="46"/>
      <c r="H5" s="46" t="s">
        <v>26</v>
      </c>
      <c r="I5" s="46" t="s">
        <v>26</v>
      </c>
      <c r="J5" s="46" t="s">
        <v>27</v>
      </c>
      <c r="K5" s="46" t="s">
        <v>28</v>
      </c>
      <c r="L5" s="46" t="s">
        <v>29</v>
      </c>
      <c r="M5" s="46" t="s">
        <v>30</v>
      </c>
      <c r="N5" s="46" t="s">
        <v>31</v>
      </c>
      <c r="O5" s="47" t="s">
        <v>26</v>
      </c>
    </row>
    <row r="6" spans="1:15" s="112" customFormat="1" ht="13.5" customHeight="1" thickBot="1">
      <c r="A6" s="108" t="s">
        <v>25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  <c r="M6" s="110"/>
      <c r="N6" s="110"/>
      <c r="O6" s="111"/>
    </row>
    <row r="7" spans="1:15" ht="16.5" customHeight="1" thickBot="1" thickTop="1">
      <c r="A7" s="54">
        <v>1</v>
      </c>
      <c r="B7" s="55" t="str">
        <f>"Bieżnia"</f>
        <v>Bieżnia</v>
      </c>
      <c r="C7" s="44" t="str">
        <f>"Trac 9"</f>
        <v>Trac 9</v>
      </c>
      <c r="D7" s="44" t="s">
        <v>99</v>
      </c>
      <c r="E7" s="44">
        <v>5</v>
      </c>
      <c r="F7" s="44">
        <v>12</v>
      </c>
      <c r="G7" s="56">
        <v>1</v>
      </c>
      <c r="H7" s="57"/>
      <c r="I7" s="55"/>
      <c r="J7" s="55"/>
      <c r="K7" s="58"/>
      <c r="L7" s="61"/>
      <c r="M7" s="61"/>
      <c r="N7" s="61"/>
      <c r="O7" s="60"/>
    </row>
    <row r="8" spans="1:15" s="112" customFormat="1" ht="12.75" customHeight="1" thickBot="1" thickTop="1">
      <c r="A8" s="108" t="s">
        <v>32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13"/>
      <c r="M8" s="113"/>
      <c r="N8" s="113"/>
      <c r="O8" s="111"/>
    </row>
    <row r="9" spans="1:15" ht="14.25" customHeight="1" thickBot="1" thickTop="1">
      <c r="A9" s="54">
        <v>1</v>
      </c>
      <c r="B9" s="55" t="str">
        <f>"Bieżnia"</f>
        <v>Bieżnia</v>
      </c>
      <c r="C9" s="44" t="str">
        <f>"GAIT TRAINER"</f>
        <v>GAIT TRAINER</v>
      </c>
      <c r="D9" s="44" t="s">
        <v>100</v>
      </c>
      <c r="E9" s="44">
        <v>1</v>
      </c>
      <c r="F9" s="44">
        <v>12</v>
      </c>
      <c r="G9" s="56">
        <v>1</v>
      </c>
      <c r="H9" s="57"/>
      <c r="I9" s="55"/>
      <c r="J9" s="55"/>
      <c r="K9" s="58"/>
      <c r="L9" s="64"/>
      <c r="M9" s="65"/>
      <c r="N9" s="66"/>
      <c r="O9" s="60"/>
    </row>
    <row r="10" spans="1:15" s="112" customFormat="1" ht="11.25" thickBot="1" thickTop="1">
      <c r="A10" s="108" t="s">
        <v>33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13"/>
      <c r="M10" s="113"/>
      <c r="N10" s="113"/>
      <c r="O10" s="111"/>
    </row>
    <row r="11" spans="1:15" ht="16.5" customHeight="1" thickBot="1" thickTop="1">
      <c r="A11" s="54">
        <v>1</v>
      </c>
      <c r="B11" s="55" t="str">
        <f>"Bieżnia"</f>
        <v>Bieżnia</v>
      </c>
      <c r="C11" s="44" t="str">
        <f>"Quinton TM55"</f>
        <v>Quinton TM55</v>
      </c>
      <c r="D11" s="44" t="s">
        <v>101</v>
      </c>
      <c r="E11" s="44">
        <v>1</v>
      </c>
      <c r="F11" s="44">
        <v>12</v>
      </c>
      <c r="G11" s="56">
        <v>1</v>
      </c>
      <c r="H11" s="57"/>
      <c r="I11" s="55"/>
      <c r="J11" s="55"/>
      <c r="K11" s="58"/>
      <c r="L11" s="64"/>
      <c r="M11" s="65"/>
      <c r="N11" s="66"/>
      <c r="O11" s="60"/>
    </row>
    <row r="12" spans="1:15" s="112" customFormat="1" ht="11.25" thickBot="1" thickTop="1">
      <c r="A12" s="108" t="s">
        <v>34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3"/>
      <c r="M12" s="113"/>
      <c r="N12" s="113"/>
      <c r="O12" s="111"/>
    </row>
    <row r="13" spans="1:15" ht="18" customHeight="1" thickBot="1" thickTop="1">
      <c r="A13" s="54">
        <v>1</v>
      </c>
      <c r="B13" s="55" t="str">
        <f>"Cykloergometr"</f>
        <v>Cykloergometr</v>
      </c>
      <c r="C13" s="44" t="str">
        <f>"z ergospirometrem "</f>
        <v>z ergospirometrem </v>
      </c>
      <c r="D13" s="44" t="s">
        <v>99</v>
      </c>
      <c r="E13" s="44">
        <v>1</v>
      </c>
      <c r="F13" s="44">
        <v>12</v>
      </c>
      <c r="G13" s="56">
        <v>1</v>
      </c>
      <c r="H13" s="57"/>
      <c r="I13" s="55"/>
      <c r="J13" s="55"/>
      <c r="K13" s="58"/>
      <c r="L13" s="64"/>
      <c r="M13" s="65"/>
      <c r="N13" s="66"/>
      <c r="O13" s="60"/>
    </row>
    <row r="14" spans="1:15" s="112" customFormat="1" ht="11.25" thickBot="1" thickTop="1">
      <c r="A14" s="114" t="s">
        <v>35</v>
      </c>
      <c r="B14" s="115"/>
      <c r="C14" s="116"/>
      <c r="D14" s="116"/>
      <c r="E14" s="116"/>
      <c r="F14" s="116"/>
      <c r="G14" s="117"/>
      <c r="H14" s="115"/>
      <c r="I14" s="115"/>
      <c r="J14" s="115"/>
      <c r="K14" s="115"/>
      <c r="L14" s="118"/>
      <c r="M14" s="118"/>
      <c r="N14" s="118"/>
      <c r="O14" s="119"/>
    </row>
    <row r="15" spans="1:15" ht="18" customHeight="1">
      <c r="A15" s="48">
        <v>1</v>
      </c>
      <c r="B15" s="49" t="str">
        <f>"Uniwersalny stół do badań"</f>
        <v>Uniwersalny stół do badań</v>
      </c>
      <c r="C15" s="50" t="str">
        <f>"SERENADA C"</f>
        <v>SERENADA C</v>
      </c>
      <c r="D15" s="50" t="s">
        <v>102</v>
      </c>
      <c r="E15" s="50">
        <v>2</v>
      </c>
      <c r="F15" s="50">
        <v>12</v>
      </c>
      <c r="G15" s="51">
        <v>1</v>
      </c>
      <c r="H15" s="52"/>
      <c r="I15" s="49"/>
      <c r="J15" s="49"/>
      <c r="K15" s="49"/>
      <c r="L15" s="49"/>
      <c r="M15" s="49"/>
      <c r="N15" s="49"/>
      <c r="O15" s="62"/>
    </row>
    <row r="16" spans="1:15" ht="24" customHeight="1" thickBot="1">
      <c r="A16" s="19">
        <v>2</v>
      </c>
      <c r="B16" s="25" t="str">
        <f>"Stół do badań z przeziernym blatem"</f>
        <v>Stół do badań z przeziernym blatem</v>
      </c>
      <c r="C16" s="24" t="str">
        <f>"SERENADA C"</f>
        <v>SERENADA C</v>
      </c>
      <c r="D16" s="24" t="s">
        <v>102</v>
      </c>
      <c r="E16" s="24">
        <v>1</v>
      </c>
      <c r="F16" s="24">
        <v>12</v>
      </c>
      <c r="G16" s="42">
        <v>1</v>
      </c>
      <c r="H16" s="11"/>
      <c r="I16" s="1"/>
      <c r="J16" s="1"/>
      <c r="K16" s="1"/>
      <c r="L16" s="29"/>
      <c r="M16" s="29"/>
      <c r="N16" s="29"/>
      <c r="O16" s="20"/>
    </row>
    <row r="17" spans="1:15" ht="13.5" customHeight="1" thickBot="1" thickTop="1">
      <c r="A17" s="67" t="s">
        <v>186</v>
      </c>
      <c r="B17" s="43" t="s">
        <v>186</v>
      </c>
      <c r="C17" s="43" t="s">
        <v>186</v>
      </c>
      <c r="D17" s="43" t="s">
        <v>186</v>
      </c>
      <c r="E17" s="43" t="s">
        <v>186</v>
      </c>
      <c r="F17" s="43" t="s">
        <v>186</v>
      </c>
      <c r="G17" s="68" t="s">
        <v>186</v>
      </c>
      <c r="H17" s="69" t="s">
        <v>186</v>
      </c>
      <c r="I17" s="43" t="s">
        <v>186</v>
      </c>
      <c r="J17" s="43" t="s">
        <v>186</v>
      </c>
      <c r="K17" s="70" t="s">
        <v>4</v>
      </c>
      <c r="L17" s="64"/>
      <c r="M17" s="65"/>
      <c r="N17" s="66"/>
      <c r="O17" s="72"/>
    </row>
    <row r="18" spans="1:15" s="112" customFormat="1" ht="11.25" thickBot="1" thickTop="1">
      <c r="A18" s="108" t="s">
        <v>36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20"/>
      <c r="M18" s="120"/>
      <c r="N18" s="120"/>
      <c r="O18" s="111"/>
    </row>
    <row r="19" spans="1:15" ht="17.25" customHeight="1">
      <c r="A19" s="48">
        <v>1</v>
      </c>
      <c r="B19" s="49" t="str">
        <f>"stół operacyjny"</f>
        <v>stół operacyjny</v>
      </c>
      <c r="C19" s="50" t="str">
        <f>"Saturn Select L"</f>
        <v>Saturn Select L</v>
      </c>
      <c r="D19" s="50" t="s">
        <v>103</v>
      </c>
      <c r="E19" s="50">
        <v>1</v>
      </c>
      <c r="F19" s="50">
        <v>12</v>
      </c>
      <c r="G19" s="51">
        <v>1</v>
      </c>
      <c r="H19" s="52"/>
      <c r="I19" s="49"/>
      <c r="J19" s="49"/>
      <c r="K19" s="49"/>
      <c r="L19" s="49"/>
      <c r="M19" s="49"/>
      <c r="N19" s="49"/>
      <c r="O19" s="62"/>
    </row>
    <row r="20" spans="1:15" ht="27" customHeight="1" thickBot="1">
      <c r="A20" s="19">
        <v>2</v>
      </c>
      <c r="B20" s="1" t="str">
        <f>"stół operacyjny"</f>
        <v>stół operacyjny</v>
      </c>
      <c r="C20" s="26" t="str">
        <f>"Carbon X-Tra Truesystem 7500"</f>
        <v>Carbon X-Tra Truesystem 7500</v>
      </c>
      <c r="D20" s="24" t="s">
        <v>104</v>
      </c>
      <c r="E20" s="24">
        <v>2</v>
      </c>
      <c r="F20" s="24">
        <v>12</v>
      </c>
      <c r="G20" s="42">
        <v>1</v>
      </c>
      <c r="H20" s="11"/>
      <c r="I20" s="1"/>
      <c r="J20" s="1"/>
      <c r="K20" s="1"/>
      <c r="L20" s="29"/>
      <c r="M20" s="29"/>
      <c r="N20" s="29"/>
      <c r="O20" s="20"/>
    </row>
    <row r="21" spans="1:15" ht="15" customHeight="1" thickBot="1" thickTop="1">
      <c r="A21" s="67" t="s">
        <v>186</v>
      </c>
      <c r="B21" s="43" t="s">
        <v>186</v>
      </c>
      <c r="C21" s="43" t="s">
        <v>186</v>
      </c>
      <c r="D21" s="43" t="s">
        <v>186</v>
      </c>
      <c r="E21" s="43" t="s">
        <v>186</v>
      </c>
      <c r="F21" s="43" t="s">
        <v>186</v>
      </c>
      <c r="G21" s="68" t="s">
        <v>186</v>
      </c>
      <c r="H21" s="69" t="s">
        <v>186</v>
      </c>
      <c r="I21" s="43" t="s">
        <v>186</v>
      </c>
      <c r="J21" s="43" t="s">
        <v>186</v>
      </c>
      <c r="K21" s="70" t="s">
        <v>4</v>
      </c>
      <c r="L21" s="64"/>
      <c r="M21" s="65"/>
      <c r="N21" s="66"/>
      <c r="O21" s="72"/>
    </row>
    <row r="22" spans="1:15" s="112" customFormat="1" ht="11.25" thickBot="1" thickTop="1">
      <c r="A22" s="108" t="s">
        <v>37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13"/>
      <c r="M22" s="113"/>
      <c r="N22" s="113"/>
      <c r="O22" s="111"/>
    </row>
    <row r="23" spans="1:15" ht="18" customHeight="1" thickBot="1" thickTop="1">
      <c r="A23" s="54">
        <v>1</v>
      </c>
      <c r="B23" s="55" t="str">
        <f>"stół operacyjny"</f>
        <v>stół operacyjny</v>
      </c>
      <c r="C23" s="44" t="str">
        <f>"Alphamaquet 1150"</f>
        <v>Alphamaquet 1150</v>
      </c>
      <c r="D23" s="44" t="s">
        <v>105</v>
      </c>
      <c r="E23" s="44">
        <v>1</v>
      </c>
      <c r="F23" s="44">
        <v>12</v>
      </c>
      <c r="G23" s="56">
        <v>1</v>
      </c>
      <c r="H23" s="57"/>
      <c r="I23" s="55"/>
      <c r="J23" s="55"/>
      <c r="K23" s="58"/>
      <c r="L23" s="64"/>
      <c r="M23" s="65"/>
      <c r="N23" s="66"/>
      <c r="O23" s="60"/>
    </row>
    <row r="24" spans="1:15" s="112" customFormat="1" ht="11.25" thickBot="1" thickTop="1">
      <c r="A24" s="114" t="s">
        <v>38</v>
      </c>
      <c r="B24" s="115"/>
      <c r="C24" s="116"/>
      <c r="D24" s="116"/>
      <c r="E24" s="116"/>
      <c r="F24" s="116"/>
      <c r="G24" s="117"/>
      <c r="H24" s="115"/>
      <c r="I24" s="115"/>
      <c r="J24" s="115"/>
      <c r="K24" s="115"/>
      <c r="L24" s="121"/>
      <c r="M24" s="121"/>
      <c r="N24" s="121"/>
      <c r="O24" s="119"/>
    </row>
    <row r="25" spans="1:15" ht="18.75" customHeight="1" thickBot="1" thickTop="1">
      <c r="A25" s="54">
        <v>1</v>
      </c>
      <c r="B25" s="55" t="str">
        <f>"Stół wyciągowy"</f>
        <v>Stół wyciągowy</v>
      </c>
      <c r="C25" s="44" t="str">
        <f>" TRITON"</f>
        <v> TRITON</v>
      </c>
      <c r="D25" s="44" t="s">
        <v>99</v>
      </c>
      <c r="E25" s="44">
        <v>1</v>
      </c>
      <c r="F25" s="44">
        <v>12</v>
      </c>
      <c r="G25" s="56">
        <v>1</v>
      </c>
      <c r="H25" s="57"/>
      <c r="I25" s="55"/>
      <c r="J25" s="55"/>
      <c r="K25" s="58"/>
      <c r="L25" s="64"/>
      <c r="M25" s="65"/>
      <c r="N25" s="66"/>
      <c r="O25" s="60"/>
    </row>
    <row r="26" spans="1:15" s="112" customFormat="1" ht="11.25" thickBot="1" thickTop="1">
      <c r="A26" s="114" t="s">
        <v>39</v>
      </c>
      <c r="B26" s="122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4"/>
      <c r="N26" s="124"/>
      <c r="O26" s="125"/>
    </row>
    <row r="27" spans="1:15" ht="16.5" customHeight="1" thickBot="1" thickTop="1">
      <c r="A27" s="54">
        <v>1</v>
      </c>
      <c r="B27" s="55" t="str">
        <f>"system elektrofizjologiczny"</f>
        <v>system elektrofizjologiczny</v>
      </c>
      <c r="C27" s="44" t="str">
        <f>"LabSystemPro"</f>
        <v>LabSystemPro</v>
      </c>
      <c r="D27" s="44" t="s">
        <v>106</v>
      </c>
      <c r="E27" s="44">
        <v>1</v>
      </c>
      <c r="F27" s="44">
        <v>12</v>
      </c>
      <c r="G27" s="56">
        <v>1</v>
      </c>
      <c r="H27" s="57"/>
      <c r="I27" s="55"/>
      <c r="J27" s="55"/>
      <c r="K27" s="58"/>
      <c r="L27" s="64"/>
      <c r="M27" s="65"/>
      <c r="N27" s="66"/>
      <c r="O27" s="60"/>
    </row>
    <row r="28" spans="1:15" s="112" customFormat="1" ht="11.25" thickBot="1" thickTop="1">
      <c r="A28" s="108" t="s">
        <v>40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13"/>
      <c r="M28" s="113"/>
      <c r="N28" s="113"/>
      <c r="O28" s="111"/>
    </row>
    <row r="29" spans="1:15" ht="30.75" customHeight="1" thickBot="1" thickTop="1">
      <c r="A29" s="54">
        <v>1</v>
      </c>
      <c r="B29" s="75" t="s">
        <v>1</v>
      </c>
      <c r="C29" s="44" t="str">
        <f>"RESUSCITAIRE"</f>
        <v>RESUSCITAIRE</v>
      </c>
      <c r="D29" s="44" t="s">
        <v>107</v>
      </c>
      <c r="E29" s="44">
        <v>2</v>
      </c>
      <c r="F29" s="44">
        <v>12</v>
      </c>
      <c r="G29" s="56">
        <v>1</v>
      </c>
      <c r="H29" s="57"/>
      <c r="I29" s="55"/>
      <c r="J29" s="55"/>
      <c r="K29" s="58"/>
      <c r="L29" s="64"/>
      <c r="M29" s="65"/>
      <c r="N29" s="66"/>
      <c r="O29" s="60"/>
    </row>
    <row r="30" spans="1:15" s="112" customFormat="1" ht="11.25" thickBot="1" thickTop="1">
      <c r="A30" s="108" t="s">
        <v>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20"/>
      <c r="M30" s="120"/>
      <c r="N30" s="120"/>
      <c r="O30" s="111"/>
    </row>
    <row r="31" spans="1:15" ht="12.75" customHeight="1">
      <c r="A31" s="48">
        <v>1</v>
      </c>
      <c r="B31" s="49" t="str">
        <f>"Diatermia"</f>
        <v>Diatermia</v>
      </c>
      <c r="C31" s="50" t="str">
        <f>"ICC 300"</f>
        <v>ICC 300</v>
      </c>
      <c r="D31" s="50" t="s">
        <v>108</v>
      </c>
      <c r="E31" s="50">
        <v>1</v>
      </c>
      <c r="F31" s="50">
        <v>12</v>
      </c>
      <c r="G31" s="51">
        <v>1</v>
      </c>
      <c r="H31" s="52"/>
      <c r="I31" s="49"/>
      <c r="J31" s="49"/>
      <c r="K31" s="49"/>
      <c r="L31" s="49"/>
      <c r="M31" s="49"/>
      <c r="N31" s="49"/>
      <c r="O31" s="62"/>
    </row>
    <row r="32" spans="1:15" ht="15.75" customHeight="1">
      <c r="A32" s="19">
        <v>2</v>
      </c>
      <c r="B32" s="1" t="str">
        <f>"Diatermia"</f>
        <v>Diatermia</v>
      </c>
      <c r="C32" s="24" t="str">
        <f>"VIO300S"</f>
        <v>VIO300S</v>
      </c>
      <c r="D32" s="24" t="s">
        <v>110</v>
      </c>
      <c r="E32" s="24">
        <v>1</v>
      </c>
      <c r="F32" s="24">
        <v>12</v>
      </c>
      <c r="G32" s="42">
        <v>1</v>
      </c>
      <c r="H32" s="11"/>
      <c r="I32" s="1"/>
      <c r="J32" s="1"/>
      <c r="K32" s="1"/>
      <c r="L32" s="1"/>
      <c r="M32" s="1"/>
      <c r="N32" s="1"/>
      <c r="O32" s="20"/>
    </row>
    <row r="33" spans="1:15" ht="13.5" customHeight="1">
      <c r="A33" s="19">
        <v>3</v>
      </c>
      <c r="B33" s="1" t="str">
        <f>"Diatermia"</f>
        <v>Diatermia</v>
      </c>
      <c r="C33" s="24" t="str">
        <f>"VIO 200D"</f>
        <v>VIO 200D</v>
      </c>
      <c r="D33" s="24" t="s">
        <v>109</v>
      </c>
      <c r="E33" s="24">
        <v>1</v>
      </c>
      <c r="F33" s="24">
        <v>12</v>
      </c>
      <c r="G33" s="42">
        <v>1</v>
      </c>
      <c r="H33" s="11"/>
      <c r="I33" s="1"/>
      <c r="J33" s="1"/>
      <c r="K33" s="1"/>
      <c r="L33" s="1"/>
      <c r="M33" s="1"/>
      <c r="N33" s="1"/>
      <c r="O33" s="20"/>
    </row>
    <row r="34" spans="1:15" ht="13.5" customHeight="1">
      <c r="A34" s="19">
        <v>4</v>
      </c>
      <c r="B34" s="1" t="str">
        <f>"Nóż wodny"</f>
        <v>Nóż wodny</v>
      </c>
      <c r="C34" s="24" t="str">
        <f>"VIO 300D"</f>
        <v>VIO 300D</v>
      </c>
      <c r="D34" s="24" t="s">
        <v>109</v>
      </c>
      <c r="E34" s="24">
        <v>1</v>
      </c>
      <c r="F34" s="24">
        <v>12</v>
      </c>
      <c r="G34" s="42">
        <v>1</v>
      </c>
      <c r="H34" s="11"/>
      <c r="I34" s="1"/>
      <c r="J34" s="1"/>
      <c r="K34" s="1"/>
      <c r="L34" s="1"/>
      <c r="M34" s="1"/>
      <c r="N34" s="1"/>
      <c r="O34" s="20"/>
    </row>
    <row r="35" spans="1:15" ht="14.25" customHeight="1" thickBot="1">
      <c r="A35" s="19">
        <v>5</v>
      </c>
      <c r="B35" s="1" t="str">
        <f>"Nóż wodny argonowy"</f>
        <v>Nóż wodny argonowy</v>
      </c>
      <c r="C35" s="24" t="str">
        <f>"APC 2 VIO 300D"</f>
        <v>APC 2 VIO 300D</v>
      </c>
      <c r="D35" s="24" t="s">
        <v>109</v>
      </c>
      <c r="E35" s="24">
        <v>1</v>
      </c>
      <c r="F35" s="24">
        <v>12</v>
      </c>
      <c r="G35" s="42">
        <v>1</v>
      </c>
      <c r="H35" s="11"/>
      <c r="I35" s="1"/>
      <c r="J35" s="1"/>
      <c r="K35" s="1"/>
      <c r="L35" s="29"/>
      <c r="M35" s="29"/>
      <c r="N35" s="29"/>
      <c r="O35" s="20"/>
    </row>
    <row r="36" spans="1:15" ht="18" customHeight="1" thickBot="1" thickTop="1">
      <c r="A36" s="67" t="s">
        <v>186</v>
      </c>
      <c r="B36" s="43" t="s">
        <v>186</v>
      </c>
      <c r="C36" s="43" t="s">
        <v>186</v>
      </c>
      <c r="D36" s="43" t="s">
        <v>186</v>
      </c>
      <c r="E36" s="43" t="s">
        <v>186</v>
      </c>
      <c r="F36" s="43" t="s">
        <v>186</v>
      </c>
      <c r="G36" s="68" t="s">
        <v>186</v>
      </c>
      <c r="H36" s="69" t="s">
        <v>186</v>
      </c>
      <c r="I36" s="43" t="s">
        <v>186</v>
      </c>
      <c r="J36" s="43" t="s">
        <v>186</v>
      </c>
      <c r="K36" s="70" t="s">
        <v>4</v>
      </c>
      <c r="L36" s="64"/>
      <c r="M36" s="65"/>
      <c r="N36" s="66"/>
      <c r="O36" s="72"/>
    </row>
    <row r="37" spans="1:15" s="112" customFormat="1" ht="11.25" thickBot="1" thickTop="1">
      <c r="A37" s="126" t="s">
        <v>42</v>
      </c>
      <c r="B37" s="127"/>
      <c r="C37" s="123"/>
      <c r="D37" s="123"/>
      <c r="E37" s="123"/>
      <c r="F37" s="123"/>
      <c r="G37" s="123"/>
      <c r="H37" s="123"/>
      <c r="I37" s="123"/>
      <c r="J37" s="123"/>
      <c r="K37" s="123"/>
      <c r="L37" s="124"/>
      <c r="M37" s="124"/>
      <c r="N37" s="124"/>
      <c r="O37" s="125"/>
    </row>
    <row r="38" spans="1:15" ht="13.5" customHeight="1" thickBot="1" thickTop="1">
      <c r="A38" s="54">
        <v>1</v>
      </c>
      <c r="B38" s="55" t="s">
        <v>2</v>
      </c>
      <c r="C38" s="44" t="str">
        <f>"Endo"</f>
        <v>Endo</v>
      </c>
      <c r="D38" s="44" t="s">
        <v>111</v>
      </c>
      <c r="E38" s="44">
        <v>3</v>
      </c>
      <c r="F38" s="44">
        <v>12</v>
      </c>
      <c r="G38" s="56">
        <v>1</v>
      </c>
      <c r="H38" s="57"/>
      <c r="I38" s="55"/>
      <c r="J38" s="55"/>
      <c r="K38" s="58"/>
      <c r="L38" s="64"/>
      <c r="M38" s="65"/>
      <c r="N38" s="66"/>
      <c r="O38" s="60"/>
    </row>
    <row r="39" spans="1:15" s="112" customFormat="1" ht="11.25" thickBot="1" thickTop="1">
      <c r="A39" s="114" t="s">
        <v>43</v>
      </c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8"/>
      <c r="M39" s="128"/>
      <c r="N39" s="128"/>
      <c r="O39" s="125"/>
    </row>
    <row r="40" spans="1:15" ht="13.5" customHeight="1" thickBot="1">
      <c r="A40" s="54">
        <v>1</v>
      </c>
      <c r="B40" s="55" t="str">
        <f>"Diatermia krótkofalowa"</f>
        <v>Diatermia krótkofalowa</v>
      </c>
      <c r="C40" s="44" t="str">
        <f>"THERMO 500"</f>
        <v>THERMO 500</v>
      </c>
      <c r="D40" s="44" t="s">
        <v>99</v>
      </c>
      <c r="E40" s="44">
        <v>1</v>
      </c>
      <c r="F40" s="44">
        <v>12</v>
      </c>
      <c r="G40" s="56">
        <v>1</v>
      </c>
      <c r="H40" s="57"/>
      <c r="I40" s="55"/>
      <c r="J40" s="55"/>
      <c r="K40" s="58"/>
      <c r="L40" s="54"/>
      <c r="M40" s="55"/>
      <c r="N40" s="59"/>
      <c r="O40" s="60"/>
    </row>
    <row r="41" spans="1:15" s="112" customFormat="1" ht="10.5" thickBot="1">
      <c r="A41" s="114" t="s">
        <v>44</v>
      </c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5"/>
    </row>
    <row r="42" spans="1:15" ht="24" customHeight="1" thickBot="1">
      <c r="A42" s="54">
        <v>1</v>
      </c>
      <c r="B42" s="55" t="str">
        <f>"Diatermia"</f>
        <v>Diatermia</v>
      </c>
      <c r="C42" s="44" t="str">
        <f>"ARC250"</f>
        <v>ARC250</v>
      </c>
      <c r="D42" s="76" t="s">
        <v>112</v>
      </c>
      <c r="E42" s="44">
        <v>1</v>
      </c>
      <c r="F42" s="44">
        <v>12</v>
      </c>
      <c r="G42" s="56">
        <v>1</v>
      </c>
      <c r="H42" s="57"/>
      <c r="I42" s="55"/>
      <c r="J42" s="55"/>
      <c r="K42" s="58"/>
      <c r="L42" s="54"/>
      <c r="M42" s="55"/>
      <c r="N42" s="59"/>
      <c r="O42" s="60"/>
    </row>
    <row r="43" spans="1:15" s="112" customFormat="1" ht="10.5" thickBot="1">
      <c r="A43" s="108" t="s">
        <v>45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11"/>
    </row>
    <row r="44" spans="1:15" ht="19.5" customHeight="1">
      <c r="A44" s="48">
        <v>1</v>
      </c>
      <c r="B44" s="49" t="str">
        <f>"Diatermia"</f>
        <v>Diatermia</v>
      </c>
      <c r="C44" s="50" t="str">
        <f>"Forceez- 8c"</f>
        <v>Forceez- 8c</v>
      </c>
      <c r="D44" s="50" t="s">
        <v>115</v>
      </c>
      <c r="E44" s="50">
        <v>1</v>
      </c>
      <c r="F44" s="50">
        <v>12</v>
      </c>
      <c r="G44" s="51">
        <v>1</v>
      </c>
      <c r="H44" s="52"/>
      <c r="I44" s="49"/>
      <c r="J44" s="49"/>
      <c r="K44" s="49"/>
      <c r="L44" s="49"/>
      <c r="M44" s="49"/>
      <c r="N44" s="49"/>
      <c r="O44" s="62"/>
    </row>
    <row r="45" spans="1:15" ht="16.5" customHeight="1">
      <c r="A45" s="19">
        <v>2</v>
      </c>
      <c r="B45" s="1" t="str">
        <f>"Platforma elektrochirurgiczna"</f>
        <v>Platforma elektrochirurgiczna</v>
      </c>
      <c r="C45" s="24" t="str">
        <f>"FORCETRIAD"</f>
        <v>FORCETRIAD</v>
      </c>
      <c r="D45" s="24" t="s">
        <v>114</v>
      </c>
      <c r="E45" s="24">
        <v>1</v>
      </c>
      <c r="F45" s="24">
        <v>12</v>
      </c>
      <c r="G45" s="42">
        <v>1</v>
      </c>
      <c r="H45" s="11"/>
      <c r="I45" s="1"/>
      <c r="J45" s="1"/>
      <c r="K45" s="1"/>
      <c r="L45" s="1"/>
      <c r="M45" s="1"/>
      <c r="N45" s="1"/>
      <c r="O45" s="20"/>
    </row>
    <row r="46" spans="1:15" ht="16.5" customHeight="1" thickBot="1">
      <c r="A46" s="19">
        <v>3</v>
      </c>
      <c r="B46" s="1" t="str">
        <f>"Platforma elektrochirurgiczna"</f>
        <v>Platforma elektrochirurgiczna</v>
      </c>
      <c r="C46" s="24" t="str">
        <f>"FORCETRIAD"</f>
        <v>FORCETRIAD</v>
      </c>
      <c r="D46" s="24" t="s">
        <v>113</v>
      </c>
      <c r="E46" s="24">
        <v>2</v>
      </c>
      <c r="F46" s="24">
        <v>12</v>
      </c>
      <c r="G46" s="42">
        <v>1</v>
      </c>
      <c r="H46" s="11"/>
      <c r="I46" s="1"/>
      <c r="J46" s="1"/>
      <c r="K46" s="1"/>
      <c r="L46" s="29"/>
      <c r="M46" s="29"/>
      <c r="N46" s="29"/>
      <c r="O46" s="20"/>
    </row>
    <row r="47" spans="1:15" ht="20.25" customHeight="1" thickBot="1" thickTop="1">
      <c r="A47" s="67" t="s">
        <v>186</v>
      </c>
      <c r="B47" s="43" t="s">
        <v>186</v>
      </c>
      <c r="C47" s="43" t="s">
        <v>186</v>
      </c>
      <c r="D47" s="43" t="s">
        <v>186</v>
      </c>
      <c r="E47" s="43" t="s">
        <v>186</v>
      </c>
      <c r="F47" s="43" t="s">
        <v>186</v>
      </c>
      <c r="G47" s="68" t="s">
        <v>186</v>
      </c>
      <c r="H47" s="69" t="s">
        <v>186</v>
      </c>
      <c r="I47" s="43" t="s">
        <v>186</v>
      </c>
      <c r="J47" s="43" t="s">
        <v>186</v>
      </c>
      <c r="K47" s="70" t="s">
        <v>4</v>
      </c>
      <c r="L47" s="64"/>
      <c r="M47" s="65"/>
      <c r="N47" s="66"/>
      <c r="O47" s="72"/>
    </row>
    <row r="48" spans="1:15" s="112" customFormat="1" ht="11.25" thickBot="1" thickTop="1">
      <c r="A48" s="108" t="s">
        <v>46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13"/>
      <c r="M48" s="113"/>
      <c r="N48" s="113"/>
      <c r="O48" s="111"/>
    </row>
    <row r="49" spans="1:15" ht="30.75" customHeight="1" thickBot="1" thickTop="1">
      <c r="A49" s="54">
        <v>1</v>
      </c>
      <c r="B49" s="75" t="s">
        <v>0</v>
      </c>
      <c r="C49" s="44" t="str">
        <f>"model Licox typ CMP"</f>
        <v>model Licox typ CMP</v>
      </c>
      <c r="D49" s="76" t="s">
        <v>116</v>
      </c>
      <c r="E49" s="44">
        <v>1</v>
      </c>
      <c r="F49" s="44">
        <v>12</v>
      </c>
      <c r="G49" s="56">
        <v>1</v>
      </c>
      <c r="H49" s="57"/>
      <c r="I49" s="55"/>
      <c r="J49" s="55"/>
      <c r="K49" s="58"/>
      <c r="L49" s="64"/>
      <c r="M49" s="65"/>
      <c r="N49" s="66"/>
      <c r="O49" s="60"/>
    </row>
    <row r="50" spans="1:15" s="112" customFormat="1" ht="11.25" thickBot="1" thickTop="1">
      <c r="A50" s="108" t="s">
        <v>47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13"/>
      <c r="M50" s="113"/>
      <c r="N50" s="113"/>
      <c r="O50" s="111"/>
    </row>
    <row r="51" spans="1:15" ht="18" customHeight="1" thickBot="1" thickTop="1">
      <c r="A51" s="54">
        <v>1</v>
      </c>
      <c r="B51" s="55" t="str">
        <f>"monitor gazów/rzutu serca"</f>
        <v>monitor gazów/rzutu serca</v>
      </c>
      <c r="C51" s="44" t="str">
        <f>"SL2600 91370"</f>
        <v>SL2600 91370</v>
      </c>
      <c r="D51" s="44" t="s">
        <v>117</v>
      </c>
      <c r="E51" s="44">
        <v>1</v>
      </c>
      <c r="F51" s="44">
        <v>12</v>
      </c>
      <c r="G51" s="56">
        <v>1</v>
      </c>
      <c r="H51" s="57"/>
      <c r="I51" s="55"/>
      <c r="J51" s="55"/>
      <c r="K51" s="58"/>
      <c r="L51" s="64"/>
      <c r="M51" s="65"/>
      <c r="N51" s="66"/>
      <c r="O51" s="60"/>
    </row>
    <row r="52" spans="1:15" s="112" customFormat="1" ht="11.25" thickBot="1" thickTop="1">
      <c r="A52" s="108" t="s">
        <v>48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13"/>
      <c r="M52" s="113"/>
      <c r="N52" s="113"/>
      <c r="O52" s="111"/>
    </row>
    <row r="53" spans="1:15" ht="24" customHeight="1" thickBot="1" thickTop="1">
      <c r="A53" s="54">
        <v>1</v>
      </c>
      <c r="B53" s="55" t="str">
        <f>"monitor hemodynamiczny"</f>
        <v>monitor hemodynamiczny</v>
      </c>
      <c r="C53" s="44" t="str">
        <f>"EV1000A"</f>
        <v>EV1000A</v>
      </c>
      <c r="D53" s="76" t="s">
        <v>118</v>
      </c>
      <c r="E53" s="44">
        <v>2</v>
      </c>
      <c r="F53" s="44">
        <v>12</v>
      </c>
      <c r="G53" s="56">
        <v>1</v>
      </c>
      <c r="H53" s="57"/>
      <c r="I53" s="55"/>
      <c r="J53" s="55"/>
      <c r="K53" s="58"/>
      <c r="L53" s="64"/>
      <c r="M53" s="65"/>
      <c r="N53" s="66"/>
      <c r="O53" s="60"/>
    </row>
    <row r="54" spans="1:15" s="112" customFormat="1" ht="11.25" thickBot="1" thickTop="1">
      <c r="A54" s="108" t="s">
        <v>49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13"/>
      <c r="M54" s="113"/>
      <c r="N54" s="113"/>
      <c r="O54" s="111"/>
    </row>
    <row r="55" spans="1:15" ht="22.5" customHeight="1" thickBot="1" thickTop="1">
      <c r="A55" s="54">
        <v>1</v>
      </c>
      <c r="B55" s="55" t="str">
        <f>"monitor parametrów życiowych"</f>
        <v>monitor parametrów życiowych</v>
      </c>
      <c r="C55" s="44" t="str">
        <f>"maglife serenity"</f>
        <v>maglife serenity</v>
      </c>
      <c r="D55" s="44" t="s">
        <v>119</v>
      </c>
      <c r="E55" s="44">
        <v>1</v>
      </c>
      <c r="F55" s="44">
        <v>12</v>
      </c>
      <c r="G55" s="56">
        <v>1</v>
      </c>
      <c r="H55" s="57"/>
      <c r="I55" s="55"/>
      <c r="J55" s="55"/>
      <c r="K55" s="58"/>
      <c r="L55" s="64"/>
      <c r="M55" s="65"/>
      <c r="N55" s="66"/>
      <c r="O55" s="60"/>
    </row>
    <row r="56" spans="1:15" s="112" customFormat="1" ht="11.25" thickBot="1" thickTop="1">
      <c r="A56" s="108" t="s">
        <v>50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13"/>
      <c r="M56" s="113"/>
      <c r="N56" s="113"/>
      <c r="O56" s="111"/>
    </row>
    <row r="57" spans="1:16" ht="22.5" customHeight="1" thickBot="1" thickTop="1">
      <c r="A57" s="54">
        <v>1</v>
      </c>
      <c r="B57" s="75" t="str">
        <f>"Aparat do hipotermii naczyniowej"</f>
        <v>Aparat do hipotermii naczyniowej</v>
      </c>
      <c r="C57" s="44" t="str">
        <f>"Thermogard XP"</f>
        <v>Thermogard XP</v>
      </c>
      <c r="D57" s="44" t="s">
        <v>120</v>
      </c>
      <c r="E57" s="44">
        <v>1</v>
      </c>
      <c r="F57" s="44">
        <v>12</v>
      </c>
      <c r="G57" s="56">
        <v>1</v>
      </c>
      <c r="H57" s="57"/>
      <c r="I57" s="55"/>
      <c r="J57" s="55"/>
      <c r="K57" s="58"/>
      <c r="L57" s="64"/>
      <c r="M57" s="65"/>
      <c r="N57" s="66"/>
      <c r="O57" s="60"/>
      <c r="P57" s="100"/>
    </row>
    <row r="58" spans="1:15" s="112" customFormat="1" ht="11.25" thickBot="1" thickTop="1">
      <c r="A58" s="108" t="s">
        <v>51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13"/>
      <c r="M58" s="113"/>
      <c r="N58" s="113"/>
      <c r="O58" s="111"/>
    </row>
    <row r="59" spans="1:15" ht="27" customHeight="1" thickBot="1" thickTop="1">
      <c r="A59" s="54">
        <v>1</v>
      </c>
      <c r="B59" s="75" t="str">
        <f>"Aparat do lokalizacji naczyń krwionośnych"</f>
        <v>Aparat do lokalizacji naczyń krwionośnych</v>
      </c>
      <c r="C59" s="44" t="str">
        <f>"Accuvein AV 400"</f>
        <v>Accuvein AV 400</v>
      </c>
      <c r="D59" s="44" t="s">
        <v>121</v>
      </c>
      <c r="E59" s="44">
        <v>1</v>
      </c>
      <c r="F59" s="44">
        <v>12</v>
      </c>
      <c r="G59" s="56">
        <v>1</v>
      </c>
      <c r="H59" s="57"/>
      <c r="I59" s="55"/>
      <c r="J59" s="55"/>
      <c r="K59" s="58"/>
      <c r="L59" s="64"/>
      <c r="M59" s="65"/>
      <c r="N59" s="66"/>
      <c r="O59" s="60"/>
    </row>
    <row r="60" spans="1:15" s="112" customFormat="1" ht="11.25" thickBot="1" thickTop="1">
      <c r="A60" s="114" t="s">
        <v>52</v>
      </c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124"/>
      <c r="M60" s="124"/>
      <c r="N60" s="124"/>
      <c r="O60" s="125"/>
    </row>
    <row r="61" spans="1:15" ht="25.5" customHeight="1" thickBot="1" thickTop="1">
      <c r="A61" s="54">
        <v>1</v>
      </c>
      <c r="B61" s="55" t="str">
        <f>"Generator do ablacji prądem RF"</f>
        <v>Generator do ablacji prądem RF</v>
      </c>
      <c r="C61" s="76" t="str">
        <f>"Stockert Ep Shuttle 39D76X"</f>
        <v>Stockert Ep Shuttle 39D76X</v>
      </c>
      <c r="D61" s="44" t="s">
        <v>122</v>
      </c>
      <c r="E61" s="44">
        <v>1</v>
      </c>
      <c r="F61" s="44">
        <v>12</v>
      </c>
      <c r="G61" s="56">
        <v>1</v>
      </c>
      <c r="H61" s="57"/>
      <c r="I61" s="55"/>
      <c r="J61" s="55"/>
      <c r="K61" s="58"/>
      <c r="L61" s="64"/>
      <c r="M61" s="65"/>
      <c r="N61" s="66"/>
      <c r="O61" s="60"/>
    </row>
    <row r="62" spans="1:15" s="112" customFormat="1" ht="11.25" thickBot="1" thickTop="1">
      <c r="A62" s="108" t="s">
        <v>53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13"/>
      <c r="M62" s="113"/>
      <c r="N62" s="113"/>
      <c r="O62" s="111"/>
    </row>
    <row r="63" spans="1:15" ht="17.25" customHeight="1" thickBot="1" thickTop="1">
      <c r="A63" s="54">
        <v>1</v>
      </c>
      <c r="B63" s="55" t="str">
        <f>"Miernik natężenia oświetlenia"</f>
        <v>Miernik natężenia oświetlenia</v>
      </c>
      <c r="C63" s="44" t="s">
        <v>14</v>
      </c>
      <c r="D63" s="44" t="s">
        <v>123</v>
      </c>
      <c r="E63" s="44">
        <v>2</v>
      </c>
      <c r="F63" s="44">
        <v>12</v>
      </c>
      <c r="G63" s="56">
        <v>1</v>
      </c>
      <c r="H63" s="57"/>
      <c r="I63" s="55"/>
      <c r="J63" s="55"/>
      <c r="K63" s="58"/>
      <c r="L63" s="64"/>
      <c r="M63" s="65"/>
      <c r="N63" s="66"/>
      <c r="O63" s="60"/>
    </row>
    <row r="64" spans="1:15" s="112" customFormat="1" ht="11.25" thickBot="1" thickTop="1">
      <c r="A64" s="114" t="s">
        <v>54</v>
      </c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124"/>
      <c r="M64" s="124"/>
      <c r="N64" s="124"/>
      <c r="O64" s="125"/>
    </row>
    <row r="65" spans="1:15" ht="24" customHeight="1" thickBot="1" thickTop="1">
      <c r="A65" s="48">
        <v>1</v>
      </c>
      <c r="B65" s="55" t="str">
        <f>"Miernik promieniowania"</f>
        <v>Miernik promieniowania</v>
      </c>
      <c r="C65" s="44" t="str">
        <f>"UltraRadiac Plus"</f>
        <v>UltraRadiac Plus</v>
      </c>
      <c r="D65" s="76" t="s">
        <v>124</v>
      </c>
      <c r="E65" s="44">
        <v>1</v>
      </c>
      <c r="F65" s="44">
        <v>12</v>
      </c>
      <c r="G65" s="56">
        <v>1</v>
      </c>
      <c r="H65" s="57"/>
      <c r="I65" s="55"/>
      <c r="J65" s="55"/>
      <c r="K65" s="58"/>
      <c r="L65" s="64"/>
      <c r="M65" s="65"/>
      <c r="N65" s="66"/>
      <c r="O65" s="60"/>
    </row>
    <row r="66" spans="1:15" s="112" customFormat="1" ht="11.25" thickBot="1" thickTop="1">
      <c r="A66" s="129" t="s">
        <v>55</v>
      </c>
      <c r="B66" s="108"/>
      <c r="C66" s="109"/>
      <c r="D66" s="109"/>
      <c r="E66" s="109"/>
      <c r="F66" s="109"/>
      <c r="G66" s="109"/>
      <c r="H66" s="109"/>
      <c r="I66" s="109"/>
      <c r="J66" s="109"/>
      <c r="K66" s="109"/>
      <c r="L66" s="113"/>
      <c r="M66" s="113"/>
      <c r="N66" s="113"/>
      <c r="O66" s="111"/>
    </row>
    <row r="67" spans="1:15" ht="15" customHeight="1" thickBot="1" thickTop="1">
      <c r="A67" s="73">
        <v>1</v>
      </c>
      <c r="B67" s="55" t="str">
        <f>"Miernik temperatury"</f>
        <v>Miernik temperatury</v>
      </c>
      <c r="C67" s="44" t="str">
        <f>"TM-907A"</f>
        <v>TM-907A</v>
      </c>
      <c r="D67" s="44" t="s">
        <v>125</v>
      </c>
      <c r="E67" s="44">
        <v>1</v>
      </c>
      <c r="F67" s="44">
        <v>12</v>
      </c>
      <c r="G67" s="56">
        <v>1</v>
      </c>
      <c r="H67" s="57"/>
      <c r="I67" s="55"/>
      <c r="J67" s="55"/>
      <c r="K67" s="58"/>
      <c r="L67" s="64"/>
      <c r="M67" s="65"/>
      <c r="N67" s="66"/>
      <c r="O67" s="60"/>
    </row>
    <row r="68" spans="1:15" s="112" customFormat="1" ht="11.25" thickBot="1" thickTop="1">
      <c r="A68" s="108" t="s">
        <v>56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20"/>
      <c r="M68" s="120"/>
      <c r="N68" s="120"/>
      <c r="O68" s="111"/>
    </row>
    <row r="69" spans="1:15" ht="22.5">
      <c r="A69" s="48">
        <v>1</v>
      </c>
      <c r="B69" s="49" t="str">
        <f>"APARAT DO MAGNETOTERAPII "</f>
        <v>APARAT DO MAGNETOTERAPII </v>
      </c>
      <c r="C69" s="84" t="str">
        <f>"ASA PMT QS AUTOMATIC"</f>
        <v>ASA PMT QS AUTOMATIC</v>
      </c>
      <c r="D69" s="50" t="s">
        <v>99</v>
      </c>
      <c r="E69" s="50">
        <v>2</v>
      </c>
      <c r="F69" s="50">
        <v>12</v>
      </c>
      <c r="G69" s="51">
        <v>1</v>
      </c>
      <c r="H69" s="52"/>
      <c r="I69" s="49"/>
      <c r="J69" s="49"/>
      <c r="K69" s="49"/>
      <c r="L69" s="49"/>
      <c r="M69" s="49"/>
      <c r="N69" s="49"/>
      <c r="O69" s="62"/>
    </row>
    <row r="70" spans="1:15" ht="14.25" customHeight="1">
      <c r="A70" s="19">
        <v>2</v>
      </c>
      <c r="B70" s="1" t="str">
        <f>"APARAT DO ELEKTROTERAPII"</f>
        <v>APARAT DO ELEKTROTERAPII</v>
      </c>
      <c r="C70" s="24" t="str">
        <f>"DUO 400"</f>
        <v>DUO 400</v>
      </c>
      <c r="D70" s="24" t="s">
        <v>99</v>
      </c>
      <c r="E70" s="24">
        <v>3</v>
      </c>
      <c r="F70" s="24">
        <v>12</v>
      </c>
      <c r="G70" s="42">
        <v>1</v>
      </c>
      <c r="H70" s="11"/>
      <c r="I70" s="1"/>
      <c r="J70" s="1"/>
      <c r="K70" s="1"/>
      <c r="L70" s="1"/>
      <c r="M70" s="1"/>
      <c r="N70" s="1"/>
      <c r="O70" s="20"/>
    </row>
    <row r="71" spans="1:15" ht="22.5">
      <c r="A71" s="19">
        <v>3</v>
      </c>
      <c r="B71" s="25" t="str">
        <f>"APARAT DO ELEKTROTERAPII I ULTRADŹWIĘKÓW"</f>
        <v>APARAT DO ELEKTROTERAPII I ULTRADŹWIĘKÓW</v>
      </c>
      <c r="C71" s="24" t="str">
        <f>"COMBI 400"</f>
        <v>COMBI 400</v>
      </c>
      <c r="D71" s="43" t="s">
        <v>99</v>
      </c>
      <c r="E71" s="24">
        <v>1</v>
      </c>
      <c r="F71" s="24">
        <v>12</v>
      </c>
      <c r="G71" s="42">
        <v>1</v>
      </c>
      <c r="H71" s="11"/>
      <c r="I71" s="1"/>
      <c r="J71" s="1"/>
      <c r="K71" s="1"/>
      <c r="L71" s="1"/>
      <c r="M71" s="1"/>
      <c r="N71" s="1"/>
      <c r="O71" s="20"/>
    </row>
    <row r="72" spans="1:15" ht="24" customHeight="1" thickBot="1">
      <c r="A72" s="19">
        <v>4</v>
      </c>
      <c r="B72" s="25" t="str">
        <f>"Laser ze skanerem biostymulacyjnym"</f>
        <v>Laser ze skanerem biostymulacyjnym</v>
      </c>
      <c r="C72" s="79" t="str">
        <f>"TERAPUS 2"</f>
        <v>TERAPUS 2</v>
      </c>
      <c r="D72" s="24" t="s">
        <v>99</v>
      </c>
      <c r="E72" s="80">
        <v>3</v>
      </c>
      <c r="F72" s="24">
        <v>12</v>
      </c>
      <c r="G72" s="42">
        <v>1</v>
      </c>
      <c r="H72" s="11"/>
      <c r="I72" s="1"/>
      <c r="J72" s="1"/>
      <c r="K72" s="1"/>
      <c r="L72" s="29"/>
      <c r="M72" s="29"/>
      <c r="N72" s="29"/>
      <c r="O72" s="20"/>
    </row>
    <row r="73" spans="1:15" ht="18" customHeight="1" thickBot="1" thickTop="1">
      <c r="A73" s="30" t="s">
        <v>186</v>
      </c>
      <c r="B73" s="43" t="s">
        <v>186</v>
      </c>
      <c r="C73" s="43" t="s">
        <v>186</v>
      </c>
      <c r="D73" s="44" t="s">
        <v>186</v>
      </c>
      <c r="E73" s="43" t="s">
        <v>186</v>
      </c>
      <c r="F73" s="43" t="s">
        <v>186</v>
      </c>
      <c r="G73" s="68" t="s">
        <v>186</v>
      </c>
      <c r="H73" s="69" t="s">
        <v>186</v>
      </c>
      <c r="I73" s="43" t="s">
        <v>186</v>
      </c>
      <c r="J73" s="43" t="s">
        <v>186</v>
      </c>
      <c r="K73" s="70" t="s">
        <v>4</v>
      </c>
      <c r="L73" s="64"/>
      <c r="M73" s="65"/>
      <c r="N73" s="66"/>
      <c r="O73" s="72"/>
    </row>
    <row r="74" spans="1:15" s="112" customFormat="1" ht="11.25" thickBot="1" thickTop="1">
      <c r="A74" s="130" t="s">
        <v>57</v>
      </c>
      <c r="B74" s="127"/>
      <c r="C74" s="123"/>
      <c r="D74" s="123"/>
      <c r="E74" s="123"/>
      <c r="F74" s="123"/>
      <c r="G74" s="123"/>
      <c r="H74" s="123"/>
      <c r="I74" s="123"/>
      <c r="J74" s="123"/>
      <c r="K74" s="123"/>
      <c r="L74" s="124"/>
      <c r="M74" s="124"/>
      <c r="N74" s="124"/>
      <c r="O74" s="125"/>
    </row>
    <row r="75" spans="1:15" ht="24" customHeight="1" thickBot="1" thickTop="1">
      <c r="A75" s="73">
        <v>1</v>
      </c>
      <c r="B75" s="55" t="str">
        <f>"Platforma stabilometryczna"</f>
        <v>Platforma stabilometryczna</v>
      </c>
      <c r="C75" s="44" t="str">
        <f>"ALFA"</f>
        <v>ALFA</v>
      </c>
      <c r="D75" s="76" t="s">
        <v>126</v>
      </c>
      <c r="E75" s="44">
        <v>1</v>
      </c>
      <c r="F75" s="44">
        <v>12</v>
      </c>
      <c r="G75" s="56">
        <v>1</v>
      </c>
      <c r="H75" s="57"/>
      <c r="I75" s="55"/>
      <c r="J75" s="55"/>
      <c r="K75" s="58"/>
      <c r="L75" s="64"/>
      <c r="M75" s="65"/>
      <c r="N75" s="66"/>
      <c r="O75" s="60"/>
    </row>
    <row r="76" spans="1:15" s="112" customFormat="1" ht="11.25" thickBot="1" thickTop="1">
      <c r="A76" s="108" t="s">
        <v>58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20"/>
      <c r="M76" s="120"/>
      <c r="N76" s="120"/>
      <c r="O76" s="111"/>
    </row>
    <row r="77" spans="1:15" ht="15" customHeight="1">
      <c r="A77" s="48">
        <v>1</v>
      </c>
      <c r="B77" s="49" t="str">
        <f aca="true" t="shared" si="0" ref="B77:B82">"Defibrylator"</f>
        <v>Defibrylator</v>
      </c>
      <c r="C77" s="50" t="str">
        <f>"Lifepak 12"</f>
        <v>Lifepak 12</v>
      </c>
      <c r="D77" s="50" t="s">
        <v>128</v>
      </c>
      <c r="E77" s="50">
        <v>1</v>
      </c>
      <c r="F77" s="50">
        <v>12</v>
      </c>
      <c r="G77" s="51">
        <v>1</v>
      </c>
      <c r="H77" s="52"/>
      <c r="I77" s="49"/>
      <c r="J77" s="49"/>
      <c r="K77" s="49"/>
      <c r="L77" s="49"/>
      <c r="M77" s="49"/>
      <c r="N77" s="49"/>
      <c r="O77" s="62"/>
    </row>
    <row r="78" spans="1:15" ht="13.5" customHeight="1">
      <c r="A78" s="19">
        <v>2</v>
      </c>
      <c r="B78" s="1" t="str">
        <f t="shared" si="0"/>
        <v>Defibrylator</v>
      </c>
      <c r="C78" s="24" t="str">
        <f>"Lifepak 12"</f>
        <v>Lifepak 12</v>
      </c>
      <c r="D78" s="24" t="s">
        <v>127</v>
      </c>
      <c r="E78" s="24">
        <v>2</v>
      </c>
      <c r="F78" s="24">
        <v>12</v>
      </c>
      <c r="G78" s="42">
        <v>1</v>
      </c>
      <c r="H78" s="11"/>
      <c r="I78" s="1"/>
      <c r="J78" s="1"/>
      <c r="K78" s="1"/>
      <c r="L78" s="1"/>
      <c r="M78" s="1"/>
      <c r="N78" s="1"/>
      <c r="O78" s="20"/>
    </row>
    <row r="79" spans="1:15" ht="14.25" customHeight="1">
      <c r="A79" s="19">
        <v>3</v>
      </c>
      <c r="B79" s="1" t="str">
        <f t="shared" si="0"/>
        <v>Defibrylator</v>
      </c>
      <c r="C79" s="24" t="str">
        <f>"Lifepak 12"</f>
        <v>Lifepak 12</v>
      </c>
      <c r="D79" s="24" t="s">
        <v>129</v>
      </c>
      <c r="E79" s="24">
        <v>2</v>
      </c>
      <c r="F79" s="24">
        <v>12</v>
      </c>
      <c r="G79" s="42">
        <v>1</v>
      </c>
      <c r="H79" s="11"/>
      <c r="I79" s="1"/>
      <c r="J79" s="1"/>
      <c r="K79" s="1"/>
      <c r="L79" s="1"/>
      <c r="M79" s="1"/>
      <c r="N79" s="1"/>
      <c r="O79" s="20"/>
    </row>
    <row r="80" spans="1:15" ht="16.5" customHeight="1">
      <c r="A80" s="19">
        <v>4</v>
      </c>
      <c r="B80" s="1" t="str">
        <f t="shared" si="0"/>
        <v>Defibrylator</v>
      </c>
      <c r="C80" s="24" t="str">
        <f>"Lifepak 20"</f>
        <v>Lifepak 20</v>
      </c>
      <c r="D80" s="24" t="s">
        <v>130</v>
      </c>
      <c r="E80" s="24">
        <v>2</v>
      </c>
      <c r="F80" s="24">
        <v>12</v>
      </c>
      <c r="G80" s="42">
        <v>1</v>
      </c>
      <c r="H80" s="11"/>
      <c r="I80" s="1"/>
      <c r="J80" s="1"/>
      <c r="K80" s="1"/>
      <c r="L80" s="1"/>
      <c r="M80" s="1"/>
      <c r="N80" s="1"/>
      <c r="O80" s="20"/>
    </row>
    <row r="81" spans="1:15" ht="17.25" customHeight="1">
      <c r="A81" s="19">
        <v>5</v>
      </c>
      <c r="B81" s="1" t="str">
        <f t="shared" si="0"/>
        <v>Defibrylator</v>
      </c>
      <c r="C81" s="24" t="str">
        <f>"Lifepak 20"</f>
        <v>Lifepak 20</v>
      </c>
      <c r="D81" s="24" t="s">
        <v>132</v>
      </c>
      <c r="E81" s="24">
        <v>1</v>
      </c>
      <c r="F81" s="24">
        <v>12</v>
      </c>
      <c r="G81" s="42">
        <v>1</v>
      </c>
      <c r="H81" s="11"/>
      <c r="I81" s="1"/>
      <c r="J81" s="1"/>
      <c r="K81" s="1"/>
      <c r="L81" s="1"/>
      <c r="M81" s="1"/>
      <c r="N81" s="1"/>
      <c r="O81" s="20"/>
    </row>
    <row r="82" spans="1:15" ht="18" customHeight="1" thickBot="1">
      <c r="A82" s="19">
        <v>6</v>
      </c>
      <c r="B82" s="1" t="str">
        <f t="shared" si="0"/>
        <v>Defibrylator</v>
      </c>
      <c r="C82" s="24" t="str">
        <f>"Lifepak 20"</f>
        <v>Lifepak 20</v>
      </c>
      <c r="D82" s="24" t="s">
        <v>131</v>
      </c>
      <c r="E82" s="24">
        <v>3</v>
      </c>
      <c r="F82" s="24">
        <v>12</v>
      </c>
      <c r="G82" s="42">
        <v>1</v>
      </c>
      <c r="H82" s="11"/>
      <c r="I82" s="1"/>
      <c r="J82" s="1"/>
      <c r="K82" s="1"/>
      <c r="L82" s="29"/>
      <c r="M82" s="29"/>
      <c r="N82" s="29"/>
      <c r="O82" s="20"/>
    </row>
    <row r="83" spans="1:15" ht="18.75" customHeight="1" thickBot="1" thickTop="1">
      <c r="A83" s="67" t="s">
        <v>186</v>
      </c>
      <c r="B83" s="43" t="s">
        <v>186</v>
      </c>
      <c r="C83" s="43" t="s">
        <v>186</v>
      </c>
      <c r="D83" s="43" t="s">
        <v>186</v>
      </c>
      <c r="E83" s="43" t="s">
        <v>186</v>
      </c>
      <c r="F83" s="43" t="s">
        <v>186</v>
      </c>
      <c r="G83" s="68" t="s">
        <v>186</v>
      </c>
      <c r="H83" s="69" t="s">
        <v>186</v>
      </c>
      <c r="I83" s="43" t="s">
        <v>186</v>
      </c>
      <c r="J83" s="43" t="s">
        <v>186</v>
      </c>
      <c r="K83" s="70" t="s">
        <v>4</v>
      </c>
      <c r="L83" s="64"/>
      <c r="M83" s="65"/>
      <c r="N83" s="66"/>
      <c r="O83" s="72"/>
    </row>
    <row r="84" spans="1:15" s="112" customFormat="1" ht="11.25" thickBot="1" thickTop="1">
      <c r="A84" s="108" t="s">
        <v>59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13"/>
      <c r="M84" s="113"/>
      <c r="N84" s="113"/>
      <c r="O84" s="111"/>
    </row>
    <row r="85" spans="1:15" ht="21.75" customHeight="1" thickBot="1" thickTop="1">
      <c r="A85" s="54">
        <v>1</v>
      </c>
      <c r="B85" s="55" t="str">
        <f>"defibrylator z kardiomonitorem"</f>
        <v>defibrylator z kardiomonitorem</v>
      </c>
      <c r="C85" s="44" t="str">
        <f>"HeartStart MRx"</f>
        <v>HeartStart MRx</v>
      </c>
      <c r="D85" s="44" t="s">
        <v>133</v>
      </c>
      <c r="E85" s="44">
        <v>1</v>
      </c>
      <c r="F85" s="44">
        <v>12</v>
      </c>
      <c r="G85" s="56">
        <v>1</v>
      </c>
      <c r="H85" s="57"/>
      <c r="I85" s="55"/>
      <c r="J85" s="55"/>
      <c r="K85" s="58"/>
      <c r="L85" s="64"/>
      <c r="M85" s="65"/>
      <c r="N85" s="66"/>
      <c r="O85" s="60"/>
    </row>
    <row r="86" spans="1:15" s="112" customFormat="1" ht="11.25" thickBot="1" thickTop="1">
      <c r="A86" s="108" t="s">
        <v>60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20"/>
      <c r="M86" s="120"/>
      <c r="N86" s="120"/>
      <c r="O86" s="111"/>
    </row>
    <row r="87" spans="1:15" ht="16.5" customHeight="1">
      <c r="A87" s="48">
        <v>1</v>
      </c>
      <c r="B87" s="49" t="str">
        <f>"Defibrylator"</f>
        <v>Defibrylator</v>
      </c>
      <c r="C87" s="50" t="str">
        <f>"BeneHeart D3"</f>
        <v>BeneHeart D3</v>
      </c>
      <c r="D87" s="50" t="s">
        <v>134</v>
      </c>
      <c r="E87" s="50">
        <v>4</v>
      </c>
      <c r="F87" s="50">
        <v>12</v>
      </c>
      <c r="G87" s="51">
        <v>1</v>
      </c>
      <c r="H87" s="52"/>
      <c r="I87" s="49"/>
      <c r="J87" s="49"/>
      <c r="K87" s="49"/>
      <c r="L87" s="49"/>
      <c r="M87" s="49"/>
      <c r="N87" s="49"/>
      <c r="O87" s="62"/>
    </row>
    <row r="88" spans="1:15" ht="13.5" customHeight="1">
      <c r="A88" s="19">
        <v>2</v>
      </c>
      <c r="B88" s="1" t="str">
        <f>"Defibrylator"</f>
        <v>Defibrylator</v>
      </c>
      <c r="C88" s="24" t="str">
        <f>"BeneHeart D6"</f>
        <v>BeneHeart D6</v>
      </c>
      <c r="D88" s="24" t="s">
        <v>135</v>
      </c>
      <c r="E88" s="24">
        <v>5</v>
      </c>
      <c r="F88" s="24">
        <v>12</v>
      </c>
      <c r="G88" s="42">
        <v>1</v>
      </c>
      <c r="H88" s="11"/>
      <c r="I88" s="1"/>
      <c r="J88" s="1"/>
      <c r="K88" s="1"/>
      <c r="L88" s="1"/>
      <c r="M88" s="1"/>
      <c r="N88" s="1"/>
      <c r="O88" s="20"/>
    </row>
    <row r="89" spans="1:15" ht="15.75" customHeight="1">
      <c r="A89" s="19">
        <v>3</v>
      </c>
      <c r="B89" s="1" t="str">
        <f>"Defibrylator"</f>
        <v>Defibrylator</v>
      </c>
      <c r="C89" s="24" t="str">
        <f>"BeneHeart D3"</f>
        <v>BeneHeart D3</v>
      </c>
      <c r="D89" s="24" t="s">
        <v>136</v>
      </c>
      <c r="E89" s="24">
        <v>1</v>
      </c>
      <c r="F89" s="24">
        <v>12</v>
      </c>
      <c r="G89" s="42">
        <v>1</v>
      </c>
      <c r="H89" s="11"/>
      <c r="I89" s="1"/>
      <c r="J89" s="1"/>
      <c r="K89" s="1"/>
      <c r="L89" s="1"/>
      <c r="M89" s="1"/>
      <c r="N89" s="1"/>
      <c r="O89" s="20"/>
    </row>
    <row r="90" spans="1:15" ht="15" customHeight="1" thickBot="1">
      <c r="A90" s="19">
        <v>4</v>
      </c>
      <c r="B90" s="1" t="str">
        <f>"Defibrylator"</f>
        <v>Defibrylator</v>
      </c>
      <c r="C90" s="24" t="str">
        <f>"BeneHeart D3"</f>
        <v>BeneHeart D3</v>
      </c>
      <c r="D90" s="24" t="s">
        <v>137</v>
      </c>
      <c r="E90" s="24">
        <v>23</v>
      </c>
      <c r="F90" s="24">
        <v>12</v>
      </c>
      <c r="G90" s="42">
        <v>1</v>
      </c>
      <c r="H90" s="11"/>
      <c r="I90" s="1"/>
      <c r="J90" s="1"/>
      <c r="K90" s="1"/>
      <c r="L90" s="29"/>
      <c r="M90" s="29"/>
      <c r="N90" s="29"/>
      <c r="O90" s="20"/>
    </row>
    <row r="91" spans="1:15" ht="19.5" customHeight="1" thickBot="1" thickTop="1">
      <c r="A91" s="67" t="s">
        <v>186</v>
      </c>
      <c r="B91" s="43" t="s">
        <v>186</v>
      </c>
      <c r="C91" s="43" t="s">
        <v>186</v>
      </c>
      <c r="D91" s="43" t="s">
        <v>186</v>
      </c>
      <c r="E91" s="43" t="s">
        <v>186</v>
      </c>
      <c r="F91" s="43" t="s">
        <v>186</v>
      </c>
      <c r="G91" s="68" t="s">
        <v>186</v>
      </c>
      <c r="H91" s="69" t="s">
        <v>186</v>
      </c>
      <c r="I91" s="43" t="s">
        <v>186</v>
      </c>
      <c r="J91" s="43" t="s">
        <v>186</v>
      </c>
      <c r="K91" s="70" t="s">
        <v>4</v>
      </c>
      <c r="L91" s="64"/>
      <c r="M91" s="65"/>
      <c r="N91" s="66"/>
      <c r="O91" s="72"/>
    </row>
    <row r="92" spans="1:15" s="112" customFormat="1" ht="11.25" thickBot="1" thickTop="1">
      <c r="A92" s="108" t="s">
        <v>61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20"/>
      <c r="M92" s="120"/>
      <c r="N92" s="120"/>
      <c r="O92" s="111"/>
    </row>
    <row r="93" spans="1:15" ht="19.5" customHeight="1">
      <c r="A93" s="48">
        <v>1</v>
      </c>
      <c r="B93" s="49" t="str">
        <f>"Aparat USG"</f>
        <v>Aparat USG</v>
      </c>
      <c r="C93" s="50" t="str">
        <f>"SSD 3500 Aloka"</f>
        <v>SSD 3500 Aloka</v>
      </c>
      <c r="D93" s="50" t="s">
        <v>138</v>
      </c>
      <c r="E93" s="50">
        <v>1</v>
      </c>
      <c r="F93" s="50">
        <v>12</v>
      </c>
      <c r="G93" s="50">
        <v>1</v>
      </c>
      <c r="H93" s="52"/>
      <c r="I93" s="49"/>
      <c r="J93" s="49"/>
      <c r="K93" s="49"/>
      <c r="L93" s="49"/>
      <c r="M93" s="49"/>
      <c r="N93" s="49"/>
      <c r="O93" s="62"/>
    </row>
    <row r="94" spans="1:15" ht="15.75" customHeight="1">
      <c r="A94" s="19">
        <v>2</v>
      </c>
      <c r="B94" s="1" t="str">
        <f aca="true" t="shared" si="1" ref="B94:B103">"Aparat USG"</f>
        <v>Aparat USG</v>
      </c>
      <c r="C94" s="24" t="str">
        <f>"SSD-4000 CV"</f>
        <v>SSD-4000 CV</v>
      </c>
      <c r="D94" s="24" t="s">
        <v>139</v>
      </c>
      <c r="E94" s="24">
        <v>1</v>
      </c>
      <c r="F94" s="24">
        <v>12</v>
      </c>
      <c r="G94" s="24">
        <v>1</v>
      </c>
      <c r="H94" s="11"/>
      <c r="I94" s="1"/>
      <c r="J94" s="1"/>
      <c r="K94" s="1"/>
      <c r="L94" s="1"/>
      <c r="M94" s="1"/>
      <c r="N94" s="1"/>
      <c r="O94" s="20"/>
    </row>
    <row r="95" spans="1:15" ht="16.5" customHeight="1">
      <c r="A95" s="19">
        <v>3</v>
      </c>
      <c r="B95" s="1" t="str">
        <f t="shared" si="1"/>
        <v>Aparat USG</v>
      </c>
      <c r="C95" s="24" t="str">
        <f>"PROSOUND ALPHA 6CV"</f>
        <v>PROSOUND ALPHA 6CV</v>
      </c>
      <c r="D95" s="24" t="s">
        <v>140</v>
      </c>
      <c r="E95" s="24">
        <v>1</v>
      </c>
      <c r="F95" s="24">
        <v>12</v>
      </c>
      <c r="G95" s="24">
        <v>1</v>
      </c>
      <c r="H95" s="11"/>
      <c r="I95" s="1"/>
      <c r="J95" s="1"/>
      <c r="K95" s="1"/>
      <c r="L95" s="1"/>
      <c r="M95" s="1"/>
      <c r="N95" s="1"/>
      <c r="O95" s="20"/>
    </row>
    <row r="96" spans="1:15" ht="13.5" customHeight="1">
      <c r="A96" s="19">
        <v>4</v>
      </c>
      <c r="B96" s="1" t="str">
        <f t="shared" si="1"/>
        <v>Aparat USG</v>
      </c>
      <c r="C96" s="24" t="str">
        <f>"Aloka Alpha-6"</f>
        <v>Aloka Alpha-6</v>
      </c>
      <c r="D96" s="24" t="s">
        <v>141</v>
      </c>
      <c r="E96" s="24">
        <v>1</v>
      </c>
      <c r="F96" s="24">
        <v>12</v>
      </c>
      <c r="G96" s="24">
        <v>1</v>
      </c>
      <c r="H96" s="11"/>
      <c r="I96" s="1"/>
      <c r="J96" s="1"/>
      <c r="K96" s="1"/>
      <c r="L96" s="1"/>
      <c r="M96" s="1"/>
      <c r="N96" s="1"/>
      <c r="O96" s="20"/>
    </row>
    <row r="97" spans="1:15" ht="18" customHeight="1">
      <c r="A97" s="19">
        <v>5</v>
      </c>
      <c r="B97" s="1" t="str">
        <f t="shared" si="1"/>
        <v>Aparat USG</v>
      </c>
      <c r="C97" s="24" t="str">
        <f>"PROSOUND ALPHA 6CV"</f>
        <v>PROSOUND ALPHA 6CV</v>
      </c>
      <c r="D97" s="24" t="s">
        <v>142</v>
      </c>
      <c r="E97" s="24">
        <v>1</v>
      </c>
      <c r="F97" s="24">
        <v>12</v>
      </c>
      <c r="G97" s="24">
        <v>1</v>
      </c>
      <c r="H97" s="11"/>
      <c r="I97" s="1"/>
      <c r="J97" s="1"/>
      <c r="K97" s="1"/>
      <c r="L97" s="1"/>
      <c r="M97" s="1"/>
      <c r="N97" s="1"/>
      <c r="O97" s="20"/>
    </row>
    <row r="98" spans="1:15" ht="18" customHeight="1">
      <c r="A98" s="19">
        <v>6</v>
      </c>
      <c r="B98" s="1" t="str">
        <f t="shared" si="1"/>
        <v>Aparat USG</v>
      </c>
      <c r="C98" s="24" t="str">
        <f>"Aloka Alpha-6"</f>
        <v>Aloka Alpha-6</v>
      </c>
      <c r="D98" s="24" t="s">
        <v>142</v>
      </c>
      <c r="E98" s="24">
        <v>1</v>
      </c>
      <c r="F98" s="24">
        <v>12</v>
      </c>
      <c r="G98" s="24">
        <v>1</v>
      </c>
      <c r="H98" s="11"/>
      <c r="I98" s="1"/>
      <c r="J98" s="1"/>
      <c r="K98" s="1"/>
      <c r="L98" s="1"/>
      <c r="M98" s="1"/>
      <c r="N98" s="1"/>
      <c r="O98" s="20"/>
    </row>
    <row r="99" spans="1:15" ht="15" customHeight="1" thickBot="1">
      <c r="A99" s="19">
        <v>7</v>
      </c>
      <c r="B99" s="1" t="str">
        <f>"Aparat USG kardiologiczny"</f>
        <v>Aparat USG kardiologiczny</v>
      </c>
      <c r="C99" s="24" t="str">
        <f>"Aloka Alpha-6"</f>
        <v>Aloka Alpha-6</v>
      </c>
      <c r="D99" s="24" t="s">
        <v>143</v>
      </c>
      <c r="E99" s="24">
        <v>1</v>
      </c>
      <c r="F99" s="24">
        <v>12</v>
      </c>
      <c r="G99" s="24">
        <v>1</v>
      </c>
      <c r="H99" s="11"/>
      <c r="I99" s="1"/>
      <c r="J99" s="1"/>
      <c r="K99" s="1"/>
      <c r="L99" s="29"/>
      <c r="M99" s="29"/>
      <c r="N99" s="29"/>
      <c r="O99" s="20"/>
    </row>
    <row r="100" spans="1:15" ht="18.75" customHeight="1" thickBot="1" thickTop="1">
      <c r="A100" s="67" t="s">
        <v>186</v>
      </c>
      <c r="B100" s="43" t="s">
        <v>186</v>
      </c>
      <c r="C100" s="43" t="s">
        <v>186</v>
      </c>
      <c r="D100" s="43" t="s">
        <v>186</v>
      </c>
      <c r="E100" s="43" t="s">
        <v>186</v>
      </c>
      <c r="F100" s="43" t="s">
        <v>186</v>
      </c>
      <c r="G100" s="68" t="s">
        <v>186</v>
      </c>
      <c r="H100" s="69" t="s">
        <v>186</v>
      </c>
      <c r="I100" s="43" t="s">
        <v>186</v>
      </c>
      <c r="J100" s="43" t="s">
        <v>186</v>
      </c>
      <c r="K100" s="70" t="s">
        <v>4</v>
      </c>
      <c r="L100" s="64"/>
      <c r="M100" s="65"/>
      <c r="N100" s="66"/>
      <c r="O100" s="72"/>
    </row>
    <row r="101" spans="1:15" s="112" customFormat="1" ht="11.25" thickBot="1" thickTop="1">
      <c r="A101" s="131" t="s">
        <v>62</v>
      </c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20"/>
      <c r="M101" s="120"/>
      <c r="N101" s="120"/>
      <c r="O101" s="111"/>
    </row>
    <row r="102" spans="1:15" ht="18" customHeight="1">
      <c r="A102" s="87">
        <v>1</v>
      </c>
      <c r="B102" s="49" t="str">
        <f t="shared" si="1"/>
        <v>Aparat USG</v>
      </c>
      <c r="C102" s="50" t="str">
        <f>"Noblus"</f>
        <v>Noblus</v>
      </c>
      <c r="D102" s="50" t="s">
        <v>144</v>
      </c>
      <c r="E102" s="50">
        <v>2</v>
      </c>
      <c r="F102" s="50">
        <v>12</v>
      </c>
      <c r="G102" s="51">
        <v>1</v>
      </c>
      <c r="H102" s="52"/>
      <c r="I102" s="49"/>
      <c r="J102" s="49"/>
      <c r="K102" s="49"/>
      <c r="L102" s="49"/>
      <c r="M102" s="49"/>
      <c r="N102" s="49"/>
      <c r="O102" s="62"/>
    </row>
    <row r="103" spans="1:15" ht="16.5" customHeight="1" thickBot="1">
      <c r="A103" s="19">
        <v>2</v>
      </c>
      <c r="B103" s="1" t="str">
        <f t="shared" si="1"/>
        <v>Aparat USG</v>
      </c>
      <c r="C103" s="24" t="str">
        <f>"F31"</f>
        <v>F31</v>
      </c>
      <c r="D103" s="24" t="s">
        <v>185</v>
      </c>
      <c r="E103" s="24">
        <v>1</v>
      </c>
      <c r="F103" s="24">
        <v>12</v>
      </c>
      <c r="G103" s="42">
        <v>1</v>
      </c>
      <c r="H103" s="11"/>
      <c r="I103" s="1"/>
      <c r="J103" s="1"/>
      <c r="K103" s="1"/>
      <c r="L103" s="29"/>
      <c r="M103" s="29"/>
      <c r="N103" s="29"/>
      <c r="O103" s="20"/>
    </row>
    <row r="104" spans="1:15" ht="12.75" thickBot="1" thickTop="1">
      <c r="A104" s="67" t="s">
        <v>186</v>
      </c>
      <c r="B104" s="43" t="s">
        <v>186</v>
      </c>
      <c r="C104" s="43" t="s">
        <v>186</v>
      </c>
      <c r="D104" s="43" t="s">
        <v>186</v>
      </c>
      <c r="E104" s="43" t="s">
        <v>186</v>
      </c>
      <c r="F104" s="43" t="s">
        <v>186</v>
      </c>
      <c r="G104" s="68" t="s">
        <v>186</v>
      </c>
      <c r="H104" s="69" t="s">
        <v>186</v>
      </c>
      <c r="I104" s="43" t="s">
        <v>186</v>
      </c>
      <c r="J104" s="43" t="s">
        <v>186</v>
      </c>
      <c r="K104" s="70" t="s">
        <v>4</v>
      </c>
      <c r="L104" s="64"/>
      <c r="M104" s="65"/>
      <c r="N104" s="66"/>
      <c r="O104" s="72"/>
    </row>
    <row r="105" spans="1:15" s="112" customFormat="1" ht="11.25" thickBot="1" thickTop="1">
      <c r="A105" s="108" t="s">
        <v>63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20"/>
      <c r="M105" s="120"/>
      <c r="N105" s="120"/>
      <c r="O105" s="111"/>
    </row>
    <row r="106" spans="1:15" ht="18.75" customHeight="1">
      <c r="A106" s="48">
        <v>1</v>
      </c>
      <c r="B106" s="49" t="str">
        <f>"Aparat USG kardiologiczny"</f>
        <v>Aparat USG kardiologiczny</v>
      </c>
      <c r="C106" s="50" t="str">
        <f>"Vivid E9"</f>
        <v>Vivid E9</v>
      </c>
      <c r="D106" s="50" t="s">
        <v>145</v>
      </c>
      <c r="E106" s="50">
        <v>1</v>
      </c>
      <c r="F106" s="50">
        <v>12</v>
      </c>
      <c r="G106" s="51">
        <v>1</v>
      </c>
      <c r="H106" s="52"/>
      <c r="I106" s="49"/>
      <c r="J106" s="49"/>
      <c r="K106" s="49"/>
      <c r="L106" s="49"/>
      <c r="M106" s="49"/>
      <c r="N106" s="49"/>
      <c r="O106" s="62"/>
    </row>
    <row r="107" spans="1:15" ht="13.5" customHeight="1">
      <c r="A107" s="19">
        <v>2</v>
      </c>
      <c r="B107" s="1" t="str">
        <f>"Aparat USG kardiologiczny"</f>
        <v>Aparat USG kardiologiczny</v>
      </c>
      <c r="C107" s="24" t="str">
        <f>"Vivid S6"</f>
        <v>Vivid S6</v>
      </c>
      <c r="D107" s="24" t="s">
        <v>145</v>
      </c>
      <c r="E107" s="24">
        <v>1</v>
      </c>
      <c r="F107" s="24">
        <v>12</v>
      </c>
      <c r="G107" s="42">
        <v>1</v>
      </c>
      <c r="H107" s="11"/>
      <c r="I107" s="1"/>
      <c r="J107" s="1"/>
      <c r="K107" s="1"/>
      <c r="L107" s="1"/>
      <c r="M107" s="1"/>
      <c r="N107" s="1"/>
      <c r="O107" s="20"/>
    </row>
    <row r="108" spans="1:15" ht="13.5" customHeight="1" thickBot="1">
      <c r="A108" s="19">
        <v>3</v>
      </c>
      <c r="B108" s="1" t="str">
        <f>"Aparat USG"</f>
        <v>Aparat USG</v>
      </c>
      <c r="C108" s="24" t="str">
        <f>"Logiq S8"</f>
        <v>Logiq S8</v>
      </c>
      <c r="D108" s="24" t="s">
        <v>145</v>
      </c>
      <c r="E108" s="24">
        <v>1</v>
      </c>
      <c r="F108" s="24">
        <v>12</v>
      </c>
      <c r="G108" s="42">
        <v>1</v>
      </c>
      <c r="H108" s="11"/>
      <c r="I108" s="1"/>
      <c r="J108" s="1"/>
      <c r="K108" s="1"/>
      <c r="L108" s="29"/>
      <c r="M108" s="29"/>
      <c r="N108" s="29"/>
      <c r="O108" s="20"/>
    </row>
    <row r="109" spans="1:15" ht="15" customHeight="1" thickBot="1" thickTop="1">
      <c r="A109" s="67" t="s">
        <v>186</v>
      </c>
      <c r="B109" s="43" t="s">
        <v>186</v>
      </c>
      <c r="C109" s="43" t="s">
        <v>186</v>
      </c>
      <c r="D109" s="43" t="s">
        <v>186</v>
      </c>
      <c r="E109" s="43" t="s">
        <v>186</v>
      </c>
      <c r="F109" s="43" t="s">
        <v>186</v>
      </c>
      <c r="G109" s="68" t="s">
        <v>186</v>
      </c>
      <c r="H109" s="69" t="s">
        <v>186</v>
      </c>
      <c r="I109" s="43" t="s">
        <v>186</v>
      </c>
      <c r="J109" s="43" t="s">
        <v>186</v>
      </c>
      <c r="K109" s="70" t="s">
        <v>4</v>
      </c>
      <c r="L109" s="64"/>
      <c r="M109" s="65"/>
      <c r="N109" s="66"/>
      <c r="O109" s="72"/>
    </row>
    <row r="110" spans="1:15" s="112" customFormat="1" ht="11.25" thickBot="1" thickTop="1">
      <c r="A110" s="132" t="s">
        <v>64</v>
      </c>
      <c r="B110" s="108"/>
      <c r="C110" s="109"/>
      <c r="D110" s="109"/>
      <c r="E110" s="109"/>
      <c r="F110" s="109"/>
      <c r="G110" s="109"/>
      <c r="H110" s="109"/>
      <c r="I110" s="109"/>
      <c r="J110" s="109"/>
      <c r="K110" s="109"/>
      <c r="L110" s="120"/>
      <c r="M110" s="120"/>
      <c r="N110" s="120"/>
      <c r="O110" s="111"/>
    </row>
    <row r="111" spans="1:15" ht="19.5" customHeight="1" thickBot="1">
      <c r="A111" s="73">
        <v>1</v>
      </c>
      <c r="B111" s="55" t="str">
        <f>"Aparat USG"</f>
        <v>Aparat USG</v>
      </c>
      <c r="C111" s="44" t="str">
        <f>"Flex Fokus 1202"</f>
        <v>Flex Fokus 1202</v>
      </c>
      <c r="D111" s="44" t="s">
        <v>146</v>
      </c>
      <c r="E111" s="44">
        <v>1</v>
      </c>
      <c r="F111" s="44">
        <v>12</v>
      </c>
      <c r="G111" s="56">
        <v>1</v>
      </c>
      <c r="H111" s="57"/>
      <c r="I111" s="55"/>
      <c r="J111" s="55"/>
      <c r="K111" s="58"/>
      <c r="L111" s="54"/>
      <c r="M111" s="55"/>
      <c r="N111" s="59"/>
      <c r="O111" s="60"/>
    </row>
    <row r="112" spans="1:15" s="112" customFormat="1" ht="10.5" thickBot="1">
      <c r="A112" s="108" t="s">
        <v>65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10"/>
      <c r="M112" s="110"/>
      <c r="N112" s="110"/>
      <c r="O112" s="111"/>
    </row>
    <row r="113" spans="1:15" ht="16.5" customHeight="1" thickBot="1" thickTop="1">
      <c r="A113" s="54">
        <v>1</v>
      </c>
      <c r="B113" s="55" t="str">
        <f>"Aparat USG"</f>
        <v>Aparat USG</v>
      </c>
      <c r="C113" s="44" t="str">
        <f>"MyLabOne"</f>
        <v>MyLabOne</v>
      </c>
      <c r="D113" s="44" t="s">
        <v>147</v>
      </c>
      <c r="E113" s="44">
        <v>1</v>
      </c>
      <c r="F113" s="44">
        <v>12</v>
      </c>
      <c r="G113" s="56">
        <v>1</v>
      </c>
      <c r="H113" s="57"/>
      <c r="I113" s="55"/>
      <c r="J113" s="55"/>
      <c r="K113" s="58"/>
      <c r="L113" s="64"/>
      <c r="M113" s="65"/>
      <c r="N113" s="66"/>
      <c r="O113" s="60"/>
    </row>
    <row r="114" spans="1:15" s="112" customFormat="1" ht="11.25" thickBot="1" thickTop="1">
      <c r="A114" s="108" t="s">
        <v>66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20"/>
      <c r="M114" s="120"/>
      <c r="N114" s="120"/>
      <c r="O114" s="111"/>
    </row>
    <row r="115" spans="1:15" ht="17.25" customHeight="1">
      <c r="A115" s="48">
        <v>1</v>
      </c>
      <c r="B115" s="49" t="s">
        <v>5</v>
      </c>
      <c r="C115" s="50" t="s">
        <v>6</v>
      </c>
      <c r="D115" s="50" t="s">
        <v>148</v>
      </c>
      <c r="E115" s="50">
        <v>1</v>
      </c>
      <c r="F115" s="50">
        <v>12</v>
      </c>
      <c r="G115" s="51">
        <v>1</v>
      </c>
      <c r="H115" s="52"/>
      <c r="I115" s="49"/>
      <c r="J115" s="49"/>
      <c r="K115" s="49"/>
      <c r="L115" s="49"/>
      <c r="M115" s="49"/>
      <c r="N115" s="49"/>
      <c r="O115" s="62"/>
    </row>
    <row r="116" spans="1:15" ht="16.5" customHeight="1" thickBot="1">
      <c r="A116" s="19">
        <v>2</v>
      </c>
      <c r="B116" s="1" t="s">
        <v>5</v>
      </c>
      <c r="C116" s="24" t="s">
        <v>6</v>
      </c>
      <c r="D116" s="24" t="s">
        <v>149</v>
      </c>
      <c r="E116" s="24">
        <v>1</v>
      </c>
      <c r="F116" s="24">
        <v>12</v>
      </c>
      <c r="G116" s="42">
        <v>1</v>
      </c>
      <c r="H116" s="11"/>
      <c r="I116" s="1"/>
      <c r="J116" s="1"/>
      <c r="K116" s="1"/>
      <c r="L116" s="29"/>
      <c r="M116" s="29"/>
      <c r="N116" s="29"/>
      <c r="O116" s="20"/>
    </row>
    <row r="117" spans="1:15" ht="12.75" thickBot="1" thickTop="1">
      <c r="A117" s="67" t="s">
        <v>186</v>
      </c>
      <c r="B117" s="43" t="s">
        <v>186</v>
      </c>
      <c r="C117" s="43" t="s">
        <v>186</v>
      </c>
      <c r="D117" s="43" t="s">
        <v>186</v>
      </c>
      <c r="E117" s="43" t="s">
        <v>186</v>
      </c>
      <c r="F117" s="43" t="s">
        <v>186</v>
      </c>
      <c r="G117" s="68" t="s">
        <v>186</v>
      </c>
      <c r="H117" s="69" t="s">
        <v>186</v>
      </c>
      <c r="I117" s="43" t="s">
        <v>186</v>
      </c>
      <c r="J117" s="43" t="s">
        <v>186</v>
      </c>
      <c r="K117" s="70" t="s">
        <v>4</v>
      </c>
      <c r="L117" s="64"/>
      <c r="M117" s="65"/>
      <c r="N117" s="66"/>
      <c r="O117" s="72"/>
    </row>
    <row r="118" spans="1:15" s="112" customFormat="1" ht="11.25" thickBot="1" thickTop="1">
      <c r="A118" s="108" t="s">
        <v>67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13"/>
      <c r="M118" s="113"/>
      <c r="N118" s="113"/>
      <c r="O118" s="111"/>
    </row>
    <row r="119" spans="1:15" ht="19.5" customHeight="1" thickBot="1" thickTop="1">
      <c r="A119" s="54">
        <v>1</v>
      </c>
      <c r="B119" s="55" t="str">
        <f>"Tester bezpieczeństwa"</f>
        <v>Tester bezpieczeństwa</v>
      </c>
      <c r="C119" s="44" t="str">
        <f>"Rigel 288"</f>
        <v>Rigel 288</v>
      </c>
      <c r="D119" s="44" t="s">
        <v>13</v>
      </c>
      <c r="E119" s="44">
        <v>1</v>
      </c>
      <c r="F119" s="78">
        <v>12</v>
      </c>
      <c r="G119" s="56">
        <v>1</v>
      </c>
      <c r="H119" s="86"/>
      <c r="I119" s="55"/>
      <c r="J119" s="55"/>
      <c r="K119" s="58"/>
      <c r="L119" s="64"/>
      <c r="M119" s="65"/>
      <c r="N119" s="66"/>
      <c r="O119" s="60"/>
    </row>
    <row r="120" spans="1:15" s="112" customFormat="1" ht="13.5" customHeight="1" thickBot="1" thickTop="1">
      <c r="A120" s="108" t="s">
        <v>68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20"/>
      <c r="M120" s="120"/>
      <c r="N120" s="120"/>
      <c r="O120" s="111"/>
    </row>
    <row r="121" spans="1:15" ht="17.25" customHeight="1" thickBot="1">
      <c r="A121" s="54">
        <v>1</v>
      </c>
      <c r="B121" s="55" t="str">
        <f>"Sztuczna nerka"</f>
        <v>Sztuczna nerka</v>
      </c>
      <c r="C121" s="44" t="str">
        <f>"Prometheus"</f>
        <v>Prometheus</v>
      </c>
      <c r="D121" s="44" t="s">
        <v>150</v>
      </c>
      <c r="E121" s="44">
        <v>1</v>
      </c>
      <c r="F121" s="44">
        <v>12</v>
      </c>
      <c r="G121" s="56">
        <v>1</v>
      </c>
      <c r="H121" s="57"/>
      <c r="I121" s="55"/>
      <c r="J121" s="55"/>
      <c r="K121" s="58"/>
      <c r="L121" s="54"/>
      <c r="M121" s="55"/>
      <c r="N121" s="59"/>
      <c r="O121" s="60"/>
    </row>
    <row r="122" spans="1:15" s="112" customFormat="1" ht="10.5" thickBot="1">
      <c r="A122" s="108" t="s">
        <v>69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11"/>
    </row>
    <row r="123" spans="1:15" ht="13.5" customHeight="1">
      <c r="A123" s="48">
        <v>1</v>
      </c>
      <c r="B123" s="49" t="str">
        <f>"Parownik"</f>
        <v>Parownik</v>
      </c>
      <c r="C123" s="50" t="str">
        <f>"Tec 7 (sewo)"</f>
        <v>Tec 7 (sewo)</v>
      </c>
      <c r="D123" s="50" t="s">
        <v>151</v>
      </c>
      <c r="E123" s="50">
        <v>4</v>
      </c>
      <c r="F123" s="50">
        <v>12</v>
      </c>
      <c r="G123" s="51">
        <v>1</v>
      </c>
      <c r="H123" s="52"/>
      <c r="I123" s="49"/>
      <c r="J123" s="49"/>
      <c r="K123" s="49"/>
      <c r="L123" s="49"/>
      <c r="M123" s="49"/>
      <c r="N123" s="49"/>
      <c r="O123" s="62"/>
    </row>
    <row r="124" spans="1:15" ht="16.5" customHeight="1" thickBot="1">
      <c r="A124" s="19">
        <v>2</v>
      </c>
      <c r="B124" s="1" t="str">
        <f>"Parownik"</f>
        <v>Parownik</v>
      </c>
      <c r="C124" s="24" t="str">
        <f>"Tec 7 (sewo)"</f>
        <v>Tec 7 (sewo)</v>
      </c>
      <c r="D124" s="24" t="s">
        <v>152</v>
      </c>
      <c r="E124" s="24">
        <v>1</v>
      </c>
      <c r="F124" s="24">
        <v>12</v>
      </c>
      <c r="G124" s="42">
        <v>1</v>
      </c>
      <c r="H124" s="11"/>
      <c r="I124" s="1"/>
      <c r="J124" s="1"/>
      <c r="K124" s="1"/>
      <c r="L124" s="29"/>
      <c r="M124" s="29"/>
      <c r="N124" s="29"/>
      <c r="O124" s="20"/>
    </row>
    <row r="125" spans="1:15" ht="12.75" thickBot="1" thickTop="1">
      <c r="A125" s="67" t="s">
        <v>186</v>
      </c>
      <c r="B125" s="43" t="s">
        <v>186</v>
      </c>
      <c r="C125" s="43" t="s">
        <v>186</v>
      </c>
      <c r="D125" s="43" t="s">
        <v>186</v>
      </c>
      <c r="E125" s="43" t="s">
        <v>186</v>
      </c>
      <c r="F125" s="43" t="s">
        <v>186</v>
      </c>
      <c r="G125" s="68" t="s">
        <v>186</v>
      </c>
      <c r="H125" s="69" t="s">
        <v>186</v>
      </c>
      <c r="I125" s="43" t="s">
        <v>186</v>
      </c>
      <c r="J125" s="43" t="s">
        <v>186</v>
      </c>
      <c r="K125" s="70" t="s">
        <v>4</v>
      </c>
      <c r="L125" s="64"/>
      <c r="M125" s="65"/>
      <c r="N125" s="66"/>
      <c r="O125" s="72"/>
    </row>
    <row r="126" spans="1:15" s="112" customFormat="1" ht="11.25" thickBot="1" thickTop="1">
      <c r="A126" s="132" t="s">
        <v>70</v>
      </c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13"/>
      <c r="M126" s="113"/>
      <c r="N126" s="113"/>
      <c r="O126" s="111"/>
    </row>
    <row r="127" spans="1:15" ht="18" customHeight="1" thickBot="1" thickTop="1">
      <c r="A127" s="73">
        <v>1</v>
      </c>
      <c r="B127" s="55" t="str">
        <f>"Parownik"</f>
        <v>Parownik</v>
      </c>
      <c r="C127" s="44" t="str">
        <f>"Vapor"</f>
        <v>Vapor</v>
      </c>
      <c r="D127" s="44" t="s">
        <v>153</v>
      </c>
      <c r="E127" s="44">
        <v>2</v>
      </c>
      <c r="F127" s="44">
        <v>12</v>
      </c>
      <c r="G127" s="56">
        <v>1</v>
      </c>
      <c r="H127" s="57"/>
      <c r="I127" s="55"/>
      <c r="J127" s="55"/>
      <c r="K127" s="58"/>
      <c r="L127" s="64"/>
      <c r="M127" s="65"/>
      <c r="N127" s="66"/>
      <c r="O127" s="60"/>
    </row>
    <row r="128" spans="1:15" s="112" customFormat="1" ht="11.25" thickBot="1" thickTop="1">
      <c r="A128" s="108" t="s">
        <v>71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20"/>
      <c r="M128" s="120"/>
      <c r="N128" s="120"/>
      <c r="O128" s="111"/>
    </row>
    <row r="129" spans="1:15" ht="26.25" customHeight="1">
      <c r="A129" s="48">
        <v>1</v>
      </c>
      <c r="B129" s="49" t="str">
        <f>"Laser CO2"</f>
        <v>Laser CO2</v>
      </c>
      <c r="C129" s="50" t="str">
        <f>"CO2RE"</f>
        <v>CO2RE</v>
      </c>
      <c r="D129" s="84" t="s">
        <v>154</v>
      </c>
      <c r="E129" s="50">
        <v>1</v>
      </c>
      <c r="F129" s="50">
        <v>12</v>
      </c>
      <c r="G129" s="51">
        <v>1</v>
      </c>
      <c r="H129" s="52"/>
      <c r="I129" s="49"/>
      <c r="J129" s="49"/>
      <c r="K129" s="49"/>
      <c r="L129" s="49"/>
      <c r="M129" s="49"/>
      <c r="N129" s="49"/>
      <c r="O129" s="62"/>
    </row>
    <row r="130" spans="1:15" ht="22.5" customHeight="1" thickBot="1">
      <c r="A130" s="19">
        <v>2</v>
      </c>
      <c r="B130" s="1" t="str">
        <f>"Laser Nd:Yag"</f>
        <v>Laser Nd:Yag</v>
      </c>
      <c r="C130" s="24" t="str">
        <f>"GentleYagPro"</f>
        <v>GentleYagPro</v>
      </c>
      <c r="D130" s="26" t="s">
        <v>154</v>
      </c>
      <c r="E130" s="24">
        <v>1</v>
      </c>
      <c r="F130" s="24">
        <v>12</v>
      </c>
      <c r="G130" s="42">
        <v>1</v>
      </c>
      <c r="H130" s="11"/>
      <c r="I130" s="1"/>
      <c r="J130" s="1"/>
      <c r="K130" s="1"/>
      <c r="L130" s="29"/>
      <c r="M130" s="29"/>
      <c r="N130" s="29"/>
      <c r="O130" s="20"/>
    </row>
    <row r="131" spans="1:15" ht="18" customHeight="1" thickBot="1" thickTop="1">
      <c r="A131" s="67" t="s">
        <v>186</v>
      </c>
      <c r="B131" s="43" t="s">
        <v>186</v>
      </c>
      <c r="C131" s="43" t="s">
        <v>186</v>
      </c>
      <c r="D131" s="43" t="s">
        <v>186</v>
      </c>
      <c r="E131" s="43" t="s">
        <v>186</v>
      </c>
      <c r="F131" s="43" t="s">
        <v>186</v>
      </c>
      <c r="G131" s="68" t="s">
        <v>186</v>
      </c>
      <c r="H131" s="69" t="s">
        <v>186</v>
      </c>
      <c r="I131" s="43" t="s">
        <v>186</v>
      </c>
      <c r="J131" s="43" t="s">
        <v>186</v>
      </c>
      <c r="K131" s="70" t="s">
        <v>4</v>
      </c>
      <c r="L131" s="64"/>
      <c r="M131" s="65"/>
      <c r="N131" s="66"/>
      <c r="O131" s="72"/>
    </row>
    <row r="132" spans="1:15" s="112" customFormat="1" ht="11.25" thickBot="1" thickTop="1">
      <c r="A132" s="114" t="s">
        <v>72</v>
      </c>
      <c r="B132" s="122"/>
      <c r="C132" s="123"/>
      <c r="D132" s="123"/>
      <c r="E132" s="133"/>
      <c r="F132" s="123"/>
      <c r="G132" s="123"/>
      <c r="H132" s="123"/>
      <c r="I132" s="123"/>
      <c r="J132" s="123"/>
      <c r="K132" s="123"/>
      <c r="L132" s="124"/>
      <c r="M132" s="124"/>
      <c r="N132" s="124"/>
      <c r="O132" s="125"/>
    </row>
    <row r="133" spans="1:15" ht="16.5" customHeight="1" thickBot="1" thickTop="1">
      <c r="A133" s="54">
        <v>1</v>
      </c>
      <c r="B133" s="55" t="str">
        <f>"Mikroskop operacyjny"</f>
        <v>Mikroskop operacyjny</v>
      </c>
      <c r="C133" s="44" t="str">
        <f>"Moller Hi-R 1000"</f>
        <v>Moller Hi-R 1000</v>
      </c>
      <c r="D133" s="78" t="s">
        <v>155</v>
      </c>
      <c r="E133" s="63">
        <v>1</v>
      </c>
      <c r="F133" s="85">
        <v>12</v>
      </c>
      <c r="G133" s="56">
        <v>1</v>
      </c>
      <c r="H133" s="57"/>
      <c r="I133" s="55"/>
      <c r="J133" s="55"/>
      <c r="K133" s="58"/>
      <c r="L133" s="64"/>
      <c r="M133" s="65"/>
      <c r="N133" s="66"/>
      <c r="O133" s="60"/>
    </row>
    <row r="134" spans="1:15" s="112" customFormat="1" ht="10.5" thickBot="1">
      <c r="A134" s="108" t="s">
        <v>73</v>
      </c>
      <c r="B134" s="109"/>
      <c r="C134" s="109"/>
      <c r="D134" s="109"/>
      <c r="E134" s="120"/>
      <c r="F134" s="109"/>
      <c r="G134" s="109"/>
      <c r="H134" s="109"/>
      <c r="I134" s="109"/>
      <c r="J134" s="109"/>
      <c r="K134" s="109"/>
      <c r="L134" s="113"/>
      <c r="M134" s="113"/>
      <c r="N134" s="113"/>
      <c r="O134" s="111"/>
    </row>
    <row r="135" spans="1:15" ht="15.75" customHeight="1" thickBot="1" thickTop="1">
      <c r="A135" s="54">
        <v>1</v>
      </c>
      <c r="B135" s="55" t="str">
        <f>"Mikroskop operacyjny"</f>
        <v>Mikroskop operacyjny</v>
      </c>
      <c r="C135" s="44" t="str">
        <f>"Leica M7200H5"</f>
        <v>Leica M7200H5</v>
      </c>
      <c r="D135" s="44" t="s">
        <v>156</v>
      </c>
      <c r="E135" s="44">
        <v>2</v>
      </c>
      <c r="F135" s="44">
        <v>12</v>
      </c>
      <c r="G135" s="56">
        <v>1</v>
      </c>
      <c r="H135" s="57"/>
      <c r="I135" s="55"/>
      <c r="J135" s="55"/>
      <c r="K135" s="58"/>
      <c r="L135" s="64"/>
      <c r="M135" s="65"/>
      <c r="N135" s="66"/>
      <c r="O135" s="60"/>
    </row>
    <row r="136" spans="1:15" s="112" customFormat="1" ht="11.25" thickBot="1" thickTop="1">
      <c r="A136" s="132" t="s">
        <v>74</v>
      </c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20"/>
      <c r="M136" s="120"/>
      <c r="N136" s="120"/>
      <c r="O136" s="111"/>
    </row>
    <row r="137" spans="1:15" ht="23.25" customHeight="1">
      <c r="A137" s="19">
        <v>1</v>
      </c>
      <c r="B137" s="49" t="str">
        <f>"Myjka ultradźwiękowa"</f>
        <v>Myjka ultradźwiękowa</v>
      </c>
      <c r="C137" s="50" t="str">
        <f>"SONIC 6D"</f>
        <v>SONIC 6D</v>
      </c>
      <c r="D137" s="84" t="s">
        <v>157</v>
      </c>
      <c r="E137" s="50">
        <v>3</v>
      </c>
      <c r="F137" s="50">
        <v>12</v>
      </c>
      <c r="G137" s="51">
        <v>1</v>
      </c>
      <c r="H137" s="52"/>
      <c r="I137" s="49"/>
      <c r="J137" s="49"/>
      <c r="K137" s="55"/>
      <c r="L137" s="55"/>
      <c r="M137" s="49"/>
      <c r="N137" s="49"/>
      <c r="O137" s="62"/>
    </row>
    <row r="138" spans="1:15" ht="24" customHeight="1" thickBot="1">
      <c r="A138" s="19">
        <v>2</v>
      </c>
      <c r="B138" s="25" t="str">
        <f>"Myjnia-dezynfektor do endoskopów"</f>
        <v>Myjnia-dezynfektor do endoskopów</v>
      </c>
      <c r="C138" s="24" t="str">
        <f>"INNOVA E3"</f>
        <v>INNOVA E3</v>
      </c>
      <c r="D138" s="26" t="s">
        <v>157</v>
      </c>
      <c r="E138" s="24">
        <v>3</v>
      </c>
      <c r="F138" s="24">
        <v>12</v>
      </c>
      <c r="G138" s="42">
        <v>1</v>
      </c>
      <c r="H138" s="11"/>
      <c r="I138" s="1"/>
      <c r="J138" s="27"/>
      <c r="K138" s="29"/>
      <c r="L138" s="29"/>
      <c r="M138" s="81"/>
      <c r="N138" s="29"/>
      <c r="O138" s="20"/>
    </row>
    <row r="139" spans="1:15" ht="16.5" customHeight="1" thickBot="1" thickTop="1">
      <c r="A139" s="67" t="s">
        <v>186</v>
      </c>
      <c r="B139" s="43" t="s">
        <v>186</v>
      </c>
      <c r="C139" s="43" t="s">
        <v>186</v>
      </c>
      <c r="D139" s="43" t="s">
        <v>186</v>
      </c>
      <c r="E139" s="43" t="s">
        <v>186</v>
      </c>
      <c r="F139" s="43" t="s">
        <v>186</v>
      </c>
      <c r="G139" s="68" t="s">
        <v>186</v>
      </c>
      <c r="H139" s="69" t="s">
        <v>186</v>
      </c>
      <c r="I139" s="43" t="s">
        <v>186</v>
      </c>
      <c r="J139" s="43" t="s">
        <v>186</v>
      </c>
      <c r="K139" s="91" t="s">
        <v>4</v>
      </c>
      <c r="L139" s="64"/>
      <c r="M139" s="65"/>
      <c r="N139" s="66"/>
      <c r="O139" s="72"/>
    </row>
    <row r="140" spans="1:15" s="112" customFormat="1" ht="10.5" thickBot="1">
      <c r="A140" s="108" t="s">
        <v>75</v>
      </c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20"/>
      <c r="M140" s="120"/>
      <c r="N140" s="120"/>
      <c r="O140" s="111"/>
    </row>
    <row r="141" spans="1:15" ht="18.75" customHeight="1">
      <c r="A141" s="48">
        <v>1</v>
      </c>
      <c r="B141" s="49" t="str">
        <f>"videogastroskop"</f>
        <v>videogastroskop</v>
      </c>
      <c r="C141" s="50" t="str">
        <f>"GIF - Q 165"</f>
        <v>GIF - Q 165</v>
      </c>
      <c r="D141" s="50" t="s">
        <v>158</v>
      </c>
      <c r="E141" s="50">
        <v>1</v>
      </c>
      <c r="F141" s="50">
        <v>12</v>
      </c>
      <c r="G141" s="51">
        <v>1</v>
      </c>
      <c r="H141" s="52"/>
      <c r="I141" s="49"/>
      <c r="J141" s="49"/>
      <c r="K141" s="49"/>
      <c r="L141" s="49"/>
      <c r="M141" s="49"/>
      <c r="N141" s="49"/>
      <c r="O141" s="62"/>
    </row>
    <row r="142" spans="1:15" ht="21" customHeight="1" thickBot="1">
      <c r="A142" s="19">
        <v>2</v>
      </c>
      <c r="B142" s="1" t="str">
        <f>"videokolonoskop"</f>
        <v>videokolonoskop</v>
      </c>
      <c r="C142" s="24" t="str">
        <f>"CF-Q165l"</f>
        <v>CF-Q165l</v>
      </c>
      <c r="D142" s="24" t="s">
        <v>159</v>
      </c>
      <c r="E142" s="24">
        <v>1</v>
      </c>
      <c r="F142" s="24">
        <v>12</v>
      </c>
      <c r="G142" s="42">
        <v>1</v>
      </c>
      <c r="H142" s="11"/>
      <c r="I142" s="1"/>
      <c r="J142" s="1"/>
      <c r="K142" s="1"/>
      <c r="L142" s="29"/>
      <c r="M142" s="29"/>
      <c r="N142" s="29"/>
      <c r="O142" s="20"/>
    </row>
    <row r="143" spans="1:15" ht="18.75" customHeight="1" thickBot="1" thickTop="1">
      <c r="A143" s="67" t="s">
        <v>186</v>
      </c>
      <c r="B143" s="43" t="s">
        <v>186</v>
      </c>
      <c r="C143" s="43" t="s">
        <v>186</v>
      </c>
      <c r="D143" s="43" t="s">
        <v>186</v>
      </c>
      <c r="E143" s="43" t="s">
        <v>186</v>
      </c>
      <c r="F143" s="43" t="s">
        <v>186</v>
      </c>
      <c r="G143" s="68" t="s">
        <v>186</v>
      </c>
      <c r="H143" s="69" t="s">
        <v>186</v>
      </c>
      <c r="I143" s="43" t="s">
        <v>186</v>
      </c>
      <c r="J143" s="43" t="s">
        <v>186</v>
      </c>
      <c r="K143" s="70" t="s">
        <v>4</v>
      </c>
      <c r="L143" s="64"/>
      <c r="M143" s="65"/>
      <c r="N143" s="66"/>
      <c r="O143" s="72"/>
    </row>
    <row r="144" spans="1:15" s="112" customFormat="1" ht="11.25" thickBot="1" thickTop="1">
      <c r="A144" s="108" t="s">
        <v>76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20"/>
      <c r="M144" s="120"/>
      <c r="N144" s="120"/>
      <c r="O144" s="111"/>
    </row>
    <row r="145" spans="1:15" ht="12.75" customHeight="1">
      <c r="A145" s="48">
        <v>1</v>
      </c>
      <c r="B145" s="49" t="str">
        <f>"videogastroskop"</f>
        <v>videogastroskop</v>
      </c>
      <c r="C145" s="50" t="str">
        <f>"EG-290KP"</f>
        <v>EG-290KP</v>
      </c>
      <c r="D145" s="50" t="s">
        <v>161</v>
      </c>
      <c r="E145" s="50">
        <v>1</v>
      </c>
      <c r="F145" s="50">
        <v>12</v>
      </c>
      <c r="G145" s="51">
        <v>1</v>
      </c>
      <c r="H145" s="52"/>
      <c r="I145" s="49"/>
      <c r="J145" s="49"/>
      <c r="K145" s="49"/>
      <c r="L145" s="49"/>
      <c r="M145" s="49"/>
      <c r="N145" s="49"/>
      <c r="O145" s="62"/>
    </row>
    <row r="146" spans="1:15" ht="26.25" customHeight="1">
      <c r="A146" s="19">
        <v>2</v>
      </c>
      <c r="B146" s="25" t="str">
        <f>"Videogastroskop diagnostyczny HDTV"</f>
        <v>Videogastroskop diagnostyczny HDTV</v>
      </c>
      <c r="C146" s="24" t="str">
        <f>"EG-2990i"</f>
        <v>EG-2990i</v>
      </c>
      <c r="D146" s="24" t="s">
        <v>160</v>
      </c>
      <c r="E146" s="24">
        <v>7</v>
      </c>
      <c r="F146" s="24">
        <v>12</v>
      </c>
      <c r="G146" s="42">
        <v>1</v>
      </c>
      <c r="H146" s="11"/>
      <c r="I146" s="1"/>
      <c r="J146" s="1"/>
      <c r="K146" s="1"/>
      <c r="L146" s="1"/>
      <c r="M146" s="1"/>
      <c r="N146" s="1"/>
      <c r="O146" s="20"/>
    </row>
    <row r="147" spans="1:15" ht="15.75" customHeight="1">
      <c r="A147" s="19">
        <v>3</v>
      </c>
      <c r="B147" s="1" t="s">
        <v>7</v>
      </c>
      <c r="C147" s="24" t="str">
        <f>"EG-3490K"</f>
        <v>EG-3490K</v>
      </c>
      <c r="D147" s="24" t="s">
        <v>160</v>
      </c>
      <c r="E147" s="24">
        <v>1</v>
      </c>
      <c r="F147" s="24">
        <v>12</v>
      </c>
      <c r="G147" s="42">
        <v>1</v>
      </c>
      <c r="H147" s="11"/>
      <c r="I147" s="1"/>
      <c r="J147" s="1"/>
      <c r="K147" s="1"/>
      <c r="L147" s="1"/>
      <c r="M147" s="1"/>
      <c r="N147" s="1"/>
      <c r="O147" s="20"/>
    </row>
    <row r="148" spans="1:15" ht="15" customHeight="1">
      <c r="A148" s="19">
        <v>4</v>
      </c>
      <c r="B148" s="1" t="str">
        <f>"videokolonoskop"</f>
        <v>videokolonoskop</v>
      </c>
      <c r="C148" s="24" t="str">
        <f>"EC-380FK2P"</f>
        <v>EC-380FK2P</v>
      </c>
      <c r="D148" s="24" t="s">
        <v>161</v>
      </c>
      <c r="E148" s="24">
        <v>1</v>
      </c>
      <c r="F148" s="24">
        <v>12</v>
      </c>
      <c r="G148" s="42">
        <v>1</v>
      </c>
      <c r="H148" s="11"/>
      <c r="I148" s="1"/>
      <c r="J148" s="1"/>
      <c r="K148" s="1"/>
      <c r="L148" s="1"/>
      <c r="M148" s="1"/>
      <c r="N148" s="1"/>
      <c r="O148" s="20"/>
    </row>
    <row r="149" spans="1:15" ht="16.5" customHeight="1">
      <c r="A149" s="19">
        <v>5</v>
      </c>
      <c r="B149" s="1" t="str">
        <f>"videokolonoskop HDTV"</f>
        <v>videokolonoskop HDTV</v>
      </c>
      <c r="C149" s="24" t="str">
        <f>"EC-3890Fi2"</f>
        <v>EC-3890Fi2</v>
      </c>
      <c r="D149" s="24" t="s">
        <v>160</v>
      </c>
      <c r="E149" s="24">
        <v>3</v>
      </c>
      <c r="F149" s="24">
        <v>12</v>
      </c>
      <c r="G149" s="42">
        <v>1</v>
      </c>
      <c r="H149" s="11"/>
      <c r="I149" s="1"/>
      <c r="J149" s="1"/>
      <c r="K149" s="1"/>
      <c r="L149" s="1"/>
      <c r="M149" s="1"/>
      <c r="N149" s="1"/>
      <c r="O149" s="20"/>
    </row>
    <row r="150" spans="1:15" ht="16.5" customHeight="1" thickBot="1">
      <c r="A150" s="19">
        <v>6</v>
      </c>
      <c r="B150" s="1" t="str">
        <f>"videokolonoskop HDTV"</f>
        <v>videokolonoskop HDTV</v>
      </c>
      <c r="C150" s="24" t="str">
        <f>"EC38-i10M2"</f>
        <v>EC38-i10M2</v>
      </c>
      <c r="D150" s="24" t="s">
        <v>160</v>
      </c>
      <c r="E150" s="24">
        <v>3</v>
      </c>
      <c r="F150" s="24">
        <v>12</v>
      </c>
      <c r="G150" s="42">
        <v>1</v>
      </c>
      <c r="H150" s="11"/>
      <c r="I150" s="1"/>
      <c r="J150" s="1"/>
      <c r="K150" s="1"/>
      <c r="L150" s="29"/>
      <c r="M150" s="29"/>
      <c r="N150" s="29"/>
      <c r="O150" s="20"/>
    </row>
    <row r="151" spans="1:15" ht="18.75" customHeight="1" thickBot="1" thickTop="1">
      <c r="A151" s="67" t="s">
        <v>186</v>
      </c>
      <c r="B151" s="43" t="s">
        <v>186</v>
      </c>
      <c r="C151" s="43" t="s">
        <v>186</v>
      </c>
      <c r="D151" s="43" t="s">
        <v>186</v>
      </c>
      <c r="E151" s="43" t="s">
        <v>186</v>
      </c>
      <c r="F151" s="68" t="s">
        <v>186</v>
      </c>
      <c r="G151" s="69" t="s">
        <v>186</v>
      </c>
      <c r="H151" s="43" t="s">
        <v>186</v>
      </c>
      <c r="I151" s="43" t="s">
        <v>186</v>
      </c>
      <c r="J151" s="43" t="s">
        <v>186</v>
      </c>
      <c r="K151" s="70" t="s">
        <v>4</v>
      </c>
      <c r="L151" s="64"/>
      <c r="M151" s="65"/>
      <c r="N151" s="66"/>
      <c r="O151" s="72"/>
    </row>
    <row r="152" spans="1:15" s="112" customFormat="1" ht="11.25" thickBot="1" thickTop="1">
      <c r="A152" s="108" t="s">
        <v>77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20"/>
      <c r="M152" s="120"/>
      <c r="N152" s="120"/>
      <c r="O152" s="111"/>
    </row>
    <row r="153" spans="1:15" ht="19.5" customHeight="1" thickBot="1" thickTop="1">
      <c r="A153" s="54">
        <v>1</v>
      </c>
      <c r="B153" s="55" t="str">
        <f>"videolaryngoskop"</f>
        <v>videolaryngoskop</v>
      </c>
      <c r="C153" s="44" t="str">
        <f>"Truview PCd"</f>
        <v>Truview PCd</v>
      </c>
      <c r="D153" s="44" t="s">
        <v>162</v>
      </c>
      <c r="E153" s="44">
        <v>1</v>
      </c>
      <c r="F153" s="44">
        <v>12</v>
      </c>
      <c r="G153" s="56">
        <v>1</v>
      </c>
      <c r="H153" s="57"/>
      <c r="I153" s="55"/>
      <c r="J153" s="58"/>
      <c r="K153" s="92"/>
      <c r="L153" s="64"/>
      <c r="M153" s="65"/>
      <c r="N153" s="66"/>
      <c r="O153" s="59"/>
    </row>
    <row r="154" spans="1:15" s="112" customFormat="1" ht="10.5" thickBot="1">
      <c r="A154" s="126" t="s">
        <v>78</v>
      </c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11"/>
    </row>
    <row r="155" spans="1:15" ht="20.25" customHeight="1" thickBot="1" thickTop="1">
      <c r="A155" s="48">
        <v>1</v>
      </c>
      <c r="B155" s="55" t="str">
        <f>"videolaryngoskop"</f>
        <v>videolaryngoskop</v>
      </c>
      <c r="C155" s="44" t="str">
        <f>"MCGRTAH MAC"</f>
        <v>MCGRTAH MAC</v>
      </c>
      <c r="D155" s="44" t="s">
        <v>163</v>
      </c>
      <c r="E155" s="44">
        <v>1</v>
      </c>
      <c r="F155" s="44">
        <v>12</v>
      </c>
      <c r="G155" s="56">
        <v>1</v>
      </c>
      <c r="H155" s="57"/>
      <c r="I155" s="55"/>
      <c r="J155" s="58"/>
      <c r="K155" s="92"/>
      <c r="L155" s="64"/>
      <c r="M155" s="65"/>
      <c r="N155" s="66"/>
      <c r="O155" s="59"/>
    </row>
    <row r="156" spans="1:15" s="112" customFormat="1" ht="10.5" thickBot="1">
      <c r="A156" s="129" t="s">
        <v>79</v>
      </c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11"/>
    </row>
    <row r="157" spans="1:15" ht="17.25" customHeight="1" thickBot="1" thickTop="1">
      <c r="A157" s="28">
        <v>1</v>
      </c>
      <c r="B157" s="55" t="str">
        <f>"Videonasofiberoskop"</f>
        <v>Videonasofiberoskop</v>
      </c>
      <c r="C157" s="44" t="str">
        <f>"ER-270FP"</f>
        <v>ER-270FP</v>
      </c>
      <c r="D157" s="44" t="s">
        <v>164</v>
      </c>
      <c r="E157" s="44">
        <v>1</v>
      </c>
      <c r="F157" s="44">
        <v>12</v>
      </c>
      <c r="G157" s="56">
        <v>1</v>
      </c>
      <c r="H157" s="57"/>
      <c r="I157" s="55"/>
      <c r="J157" s="58"/>
      <c r="K157" s="92"/>
      <c r="L157" s="64"/>
      <c r="M157" s="65"/>
      <c r="N157" s="66"/>
      <c r="O157" s="59"/>
    </row>
    <row r="158" spans="1:15" s="112" customFormat="1" ht="10.5" thickBot="1">
      <c r="A158" s="129" t="s">
        <v>80</v>
      </c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11"/>
    </row>
    <row r="159" spans="1:15" ht="15.75" customHeight="1">
      <c r="A159" s="87">
        <v>1</v>
      </c>
      <c r="B159" s="49" t="str">
        <f>"Stymulator  "</f>
        <v>Stymulator  </v>
      </c>
      <c r="C159" s="50" t="str">
        <f>"EDP 30/B"</f>
        <v>EDP 30/B</v>
      </c>
      <c r="D159" s="50" t="s">
        <v>165</v>
      </c>
      <c r="E159" s="50">
        <v>2</v>
      </c>
      <c r="F159" s="50">
        <v>12</v>
      </c>
      <c r="G159" s="51">
        <v>1</v>
      </c>
      <c r="H159" s="52"/>
      <c r="I159" s="49"/>
      <c r="J159" s="49"/>
      <c r="K159" s="49"/>
      <c r="L159" s="49"/>
      <c r="M159" s="49"/>
      <c r="N159" s="49"/>
      <c r="O159" s="62"/>
    </row>
    <row r="160" spans="1:15" ht="16.5" customHeight="1" thickBot="1">
      <c r="A160" s="19">
        <v>2</v>
      </c>
      <c r="B160" s="1" t="str">
        <f>"stymulator zewnętrzny"</f>
        <v>stymulator zewnętrzny</v>
      </c>
      <c r="C160" s="24" t="str">
        <f>"Reocos S"</f>
        <v>Reocos S</v>
      </c>
      <c r="D160" s="24" t="s">
        <v>166</v>
      </c>
      <c r="E160" s="24">
        <v>1</v>
      </c>
      <c r="F160" s="24">
        <v>12</v>
      </c>
      <c r="G160" s="42">
        <v>1</v>
      </c>
      <c r="H160" s="11"/>
      <c r="I160" s="1"/>
      <c r="J160" s="1"/>
      <c r="K160" s="1"/>
      <c r="L160" s="1"/>
      <c r="M160" s="1"/>
      <c r="N160" s="1"/>
      <c r="O160" s="20"/>
    </row>
    <row r="161" spans="1:15" ht="17.25" customHeight="1" thickBot="1" thickTop="1">
      <c r="A161" s="138" t="s">
        <v>186</v>
      </c>
      <c r="B161" s="43" t="s">
        <v>186</v>
      </c>
      <c r="C161" s="43" t="s">
        <v>186</v>
      </c>
      <c r="D161" s="43" t="s">
        <v>186</v>
      </c>
      <c r="E161" s="43" t="s">
        <v>186</v>
      </c>
      <c r="F161" s="68" t="s">
        <v>186</v>
      </c>
      <c r="G161" s="69" t="s">
        <v>186</v>
      </c>
      <c r="H161" s="43" t="s">
        <v>186</v>
      </c>
      <c r="I161" s="43" t="s">
        <v>186</v>
      </c>
      <c r="J161" s="43" t="s">
        <v>186</v>
      </c>
      <c r="K161" s="70" t="s">
        <v>4</v>
      </c>
      <c r="L161" s="64"/>
      <c r="M161" s="65"/>
      <c r="N161" s="66"/>
      <c r="O161" s="82"/>
    </row>
    <row r="162" spans="1:15" s="112" customFormat="1" ht="10.5" thickBot="1">
      <c r="A162" s="129" t="s">
        <v>81</v>
      </c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11"/>
    </row>
    <row r="163" spans="1:15" ht="28.5" customHeight="1" thickBot="1" thickTop="1">
      <c r="A163" s="71">
        <v>1</v>
      </c>
      <c r="B163" s="75" t="str">
        <f>"STYMULATOR DO TERAPII PORAŻEŃ"</f>
        <v>STYMULATOR DO TERAPII PORAŻEŃ</v>
      </c>
      <c r="C163" s="44" t="str">
        <f>"MULTITRONIC MT-3"</f>
        <v>MULTITRONIC MT-3</v>
      </c>
      <c r="D163" s="44" t="s">
        <v>99</v>
      </c>
      <c r="E163" s="44">
        <v>3</v>
      </c>
      <c r="F163" s="44">
        <v>12</v>
      </c>
      <c r="G163" s="56">
        <v>1</v>
      </c>
      <c r="H163" s="57"/>
      <c r="I163" s="55"/>
      <c r="J163" s="58"/>
      <c r="K163" s="93"/>
      <c r="L163" s="88"/>
      <c r="M163" s="89"/>
      <c r="N163" s="90"/>
      <c r="O163" s="59"/>
    </row>
    <row r="164" spans="1:15" s="112" customFormat="1" ht="12.75" customHeight="1" thickBot="1" thickTop="1">
      <c r="A164" s="108" t="s">
        <v>82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34"/>
      <c r="M164" s="134"/>
      <c r="N164" s="134"/>
      <c r="O164" s="111"/>
    </row>
    <row r="165" spans="1:15" ht="19.5" customHeight="1" thickBot="1" thickTop="1">
      <c r="A165" s="28">
        <v>1</v>
      </c>
      <c r="B165" s="55" t="str">
        <f>"stymulator nerwów"</f>
        <v>stymulator nerwów</v>
      </c>
      <c r="C165" s="44" t="str">
        <f>"TofScan"</f>
        <v>TofScan</v>
      </c>
      <c r="D165" s="44" t="s">
        <v>167</v>
      </c>
      <c r="E165" s="44">
        <v>2</v>
      </c>
      <c r="F165" s="44">
        <v>12</v>
      </c>
      <c r="G165" s="56">
        <v>1</v>
      </c>
      <c r="H165" s="57"/>
      <c r="I165" s="55"/>
      <c r="J165" s="58"/>
      <c r="K165" s="94"/>
      <c r="L165" s="64"/>
      <c r="M165" s="65"/>
      <c r="N165" s="66"/>
      <c r="O165" s="59"/>
    </row>
    <row r="166" spans="1:15" s="112" customFormat="1" ht="18" customHeight="1" thickBot="1">
      <c r="A166" s="108" t="s">
        <v>83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20"/>
      <c r="M166" s="120"/>
      <c r="N166" s="120"/>
      <c r="O166" s="111"/>
    </row>
    <row r="167" spans="1:15" ht="21.75" customHeight="1">
      <c r="A167" s="48">
        <v>1</v>
      </c>
      <c r="B167" s="74" t="str">
        <f>"Stymulator nerwów obwodowych"</f>
        <v>Stymulator nerwów obwodowych</v>
      </c>
      <c r="C167" s="50" t="str">
        <f>"Stimuplex HNS 12"</f>
        <v>Stimuplex HNS 12</v>
      </c>
      <c r="D167" s="50" t="s">
        <v>168</v>
      </c>
      <c r="E167" s="50">
        <v>1</v>
      </c>
      <c r="F167" s="50">
        <v>12</v>
      </c>
      <c r="G167" s="51">
        <v>1</v>
      </c>
      <c r="H167" s="52"/>
      <c r="I167" s="49"/>
      <c r="J167" s="49"/>
      <c r="K167" s="49"/>
      <c r="L167" s="49"/>
      <c r="M167" s="49"/>
      <c r="N167" s="49"/>
      <c r="O167" s="62"/>
    </row>
    <row r="168" spans="1:15" ht="24" customHeight="1" thickBot="1">
      <c r="A168" s="19">
        <v>2</v>
      </c>
      <c r="B168" s="25" t="str">
        <f>"Stymulator nerwów obwodowych"</f>
        <v>Stymulator nerwów obwodowych</v>
      </c>
      <c r="C168" s="24" t="str">
        <f>"Stimuplex HNS 12"</f>
        <v>Stimuplex HNS 12</v>
      </c>
      <c r="D168" s="24" t="s">
        <v>169</v>
      </c>
      <c r="E168" s="24">
        <v>1</v>
      </c>
      <c r="F168" s="24">
        <v>12</v>
      </c>
      <c r="G168" s="42">
        <v>1</v>
      </c>
      <c r="H168" s="11"/>
      <c r="I168" s="1"/>
      <c r="J168" s="1"/>
      <c r="K168" s="1"/>
      <c r="L168" s="1"/>
      <c r="M168" s="1"/>
      <c r="N168" s="1"/>
      <c r="O168" s="20"/>
    </row>
    <row r="169" spans="1:15" ht="12.75" thickBot="1" thickTop="1">
      <c r="A169" s="67" t="s">
        <v>186</v>
      </c>
      <c r="B169" s="43" t="s">
        <v>186</v>
      </c>
      <c r="C169" s="43" t="s">
        <v>186</v>
      </c>
      <c r="D169" s="43" t="s">
        <v>186</v>
      </c>
      <c r="E169" s="43" t="s">
        <v>186</v>
      </c>
      <c r="F169" s="68" t="s">
        <v>186</v>
      </c>
      <c r="G169" s="69" t="s">
        <v>186</v>
      </c>
      <c r="H169" s="43" t="s">
        <v>186</v>
      </c>
      <c r="I169" s="43" t="s">
        <v>186</v>
      </c>
      <c r="J169" s="43" t="s">
        <v>186</v>
      </c>
      <c r="K169" s="70" t="s">
        <v>4</v>
      </c>
      <c r="L169" s="64"/>
      <c r="M169" s="65"/>
      <c r="N169" s="66"/>
      <c r="O169" s="82"/>
    </row>
    <row r="170" spans="1:15" s="112" customFormat="1" ht="13.5" customHeight="1" thickBot="1" thickTop="1">
      <c r="A170" s="108" t="s">
        <v>84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13"/>
      <c r="M170" s="113"/>
      <c r="N170" s="113"/>
      <c r="O170" s="111"/>
    </row>
    <row r="171" spans="1:15" ht="15.75" customHeight="1" thickBot="1" thickTop="1">
      <c r="A171" s="54">
        <v>1</v>
      </c>
      <c r="B171" s="55" t="str">
        <f>"stymulator zewnętrzny"</f>
        <v>stymulator zewnętrzny</v>
      </c>
      <c r="C171" s="44" t="str">
        <f>"Reocos S"</f>
        <v>Reocos S</v>
      </c>
      <c r="D171" s="44" t="s">
        <v>166</v>
      </c>
      <c r="E171" s="44">
        <v>1</v>
      </c>
      <c r="F171" s="44">
        <v>12</v>
      </c>
      <c r="G171" s="56">
        <v>1</v>
      </c>
      <c r="H171" s="57"/>
      <c r="I171" s="55"/>
      <c r="J171" s="58"/>
      <c r="K171" s="94"/>
      <c r="L171" s="64"/>
      <c r="M171" s="106"/>
      <c r="N171" s="107"/>
      <c r="O171" s="60"/>
    </row>
    <row r="172" spans="1:15" s="112" customFormat="1" ht="12.75" customHeight="1" thickBot="1" thickTop="1">
      <c r="A172" s="126" t="s">
        <v>85</v>
      </c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13"/>
      <c r="M172" s="113"/>
      <c r="N172" s="113"/>
      <c r="O172" s="111"/>
    </row>
    <row r="173" spans="1:15" ht="19.5" customHeight="1" thickBot="1" thickTop="1">
      <c r="A173" s="54">
        <v>1</v>
      </c>
      <c r="B173" s="55" t="str">
        <f>"stymulator zewnętrzny"</f>
        <v>stymulator zewnętrzny</v>
      </c>
      <c r="C173" s="44" t="str">
        <f>"MicroPace EPS320"</f>
        <v>MicroPace EPS320</v>
      </c>
      <c r="D173" s="44" t="s">
        <v>106</v>
      </c>
      <c r="E173" s="44">
        <v>1</v>
      </c>
      <c r="F173" s="44">
        <v>12</v>
      </c>
      <c r="G173" s="56">
        <v>1</v>
      </c>
      <c r="H173" s="57"/>
      <c r="I173" s="55"/>
      <c r="J173" s="58"/>
      <c r="K173" s="94"/>
      <c r="L173" s="64"/>
      <c r="M173" s="106"/>
      <c r="N173" s="107"/>
      <c r="O173" s="59"/>
    </row>
    <row r="174" spans="1:15" s="112" customFormat="1" ht="12.75" customHeight="1" thickBot="1" thickTop="1">
      <c r="A174" s="108" t="s">
        <v>86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20"/>
      <c r="M174" s="120"/>
      <c r="N174" s="120"/>
      <c r="O174" s="111"/>
    </row>
    <row r="175" spans="1:15" ht="20.25" customHeight="1">
      <c r="A175" s="48">
        <v>1</v>
      </c>
      <c r="B175" s="74" t="str">
        <f>"strzykawka automatyczna do kontrastu"</f>
        <v>strzykawka automatyczna do kontrastu</v>
      </c>
      <c r="C175" s="50" t="str">
        <f>"Mark 7 Arterion"</f>
        <v>Mark 7 Arterion</v>
      </c>
      <c r="D175" s="50" t="s">
        <v>170</v>
      </c>
      <c r="E175" s="50">
        <v>1</v>
      </c>
      <c r="F175" s="50">
        <v>12</v>
      </c>
      <c r="G175" s="51">
        <v>1</v>
      </c>
      <c r="H175" s="52"/>
      <c r="I175" s="49"/>
      <c r="J175" s="49"/>
      <c r="K175" s="49"/>
      <c r="L175" s="49"/>
      <c r="M175" s="49"/>
      <c r="N175" s="49"/>
      <c r="O175" s="62"/>
    </row>
    <row r="176" spans="1:15" ht="22.5">
      <c r="A176" s="19">
        <v>3</v>
      </c>
      <c r="B176" s="25" t="str">
        <f>"strzykawka automatyczna do kontrastu"</f>
        <v>strzykawka automatyczna do kontrastu</v>
      </c>
      <c r="C176" s="24" t="s">
        <v>9</v>
      </c>
      <c r="D176" s="24" t="s">
        <v>171</v>
      </c>
      <c r="E176" s="24">
        <v>1</v>
      </c>
      <c r="F176" s="24">
        <v>12</v>
      </c>
      <c r="G176" s="42">
        <v>1</v>
      </c>
      <c r="H176" s="11"/>
      <c r="I176" s="1"/>
      <c r="J176" s="1"/>
      <c r="K176" s="1"/>
      <c r="L176" s="1"/>
      <c r="M176" s="1"/>
      <c r="N176" s="1"/>
      <c r="O176" s="20"/>
    </row>
    <row r="177" spans="1:15" ht="22.5">
      <c r="A177" s="19">
        <v>4</v>
      </c>
      <c r="B177" s="25" t="str">
        <f>"strzykawka automatyczna do kontrastu"</f>
        <v>strzykawka automatyczna do kontrastu</v>
      </c>
      <c r="C177" s="24" t="s">
        <v>10</v>
      </c>
      <c r="D177" s="24" t="s">
        <v>171</v>
      </c>
      <c r="E177" s="24">
        <v>1</v>
      </c>
      <c r="F177" s="24">
        <v>12</v>
      </c>
      <c r="G177" s="42">
        <v>1</v>
      </c>
      <c r="H177" s="11"/>
      <c r="I177" s="1"/>
      <c r="J177" s="1"/>
      <c r="K177" s="1"/>
      <c r="L177" s="1"/>
      <c r="M177" s="1"/>
      <c r="N177" s="1"/>
      <c r="O177" s="20"/>
    </row>
    <row r="178" spans="1:15" ht="22.5">
      <c r="A178" s="19">
        <v>5</v>
      </c>
      <c r="B178" s="25" t="str">
        <f>"strzykawka automatyczna do kontrastu"</f>
        <v>strzykawka automatyczna do kontrastu</v>
      </c>
      <c r="C178" s="24" t="s">
        <v>10</v>
      </c>
      <c r="D178" s="24" t="s">
        <v>172</v>
      </c>
      <c r="E178" s="24">
        <v>1</v>
      </c>
      <c r="F178" s="24">
        <v>12</v>
      </c>
      <c r="G178" s="42">
        <v>1</v>
      </c>
      <c r="H178" s="11"/>
      <c r="I178" s="1"/>
      <c r="J178" s="1"/>
      <c r="K178" s="1"/>
      <c r="L178" s="1"/>
      <c r="M178" s="1"/>
      <c r="N178" s="1"/>
      <c r="O178" s="20"/>
    </row>
    <row r="179" spans="1:15" ht="23.25" thickBot="1">
      <c r="A179" s="19">
        <v>6</v>
      </c>
      <c r="B179" s="25" t="str">
        <f>"strzykawka automatyczna do kontrastu"</f>
        <v>strzykawka automatyczna do kontrastu</v>
      </c>
      <c r="C179" s="24" t="s">
        <v>11</v>
      </c>
      <c r="D179" s="24" t="s">
        <v>171</v>
      </c>
      <c r="E179" s="24">
        <v>1</v>
      </c>
      <c r="F179" s="24">
        <v>12</v>
      </c>
      <c r="G179" s="42">
        <v>1</v>
      </c>
      <c r="H179" s="11"/>
      <c r="I179" s="1"/>
      <c r="J179" s="1"/>
      <c r="K179" s="1"/>
      <c r="L179" s="1"/>
      <c r="M179" s="1"/>
      <c r="N179" s="1"/>
      <c r="O179" s="20"/>
    </row>
    <row r="180" spans="1:15" ht="15" customHeight="1" thickBot="1" thickTop="1">
      <c r="A180" s="67" t="s">
        <v>186</v>
      </c>
      <c r="B180" s="43" t="s">
        <v>186</v>
      </c>
      <c r="C180" s="43" t="s">
        <v>186</v>
      </c>
      <c r="D180" s="43" t="s">
        <v>186</v>
      </c>
      <c r="E180" s="43" t="s">
        <v>186</v>
      </c>
      <c r="F180" s="68" t="s">
        <v>186</v>
      </c>
      <c r="G180" s="69" t="s">
        <v>186</v>
      </c>
      <c r="H180" s="43" t="s">
        <v>186</v>
      </c>
      <c r="I180" s="43" t="s">
        <v>186</v>
      </c>
      <c r="J180" s="43" t="s">
        <v>186</v>
      </c>
      <c r="K180" s="70" t="s">
        <v>4</v>
      </c>
      <c r="L180" s="64"/>
      <c r="M180" s="65"/>
      <c r="N180" s="66"/>
      <c r="O180" s="82"/>
    </row>
    <row r="181" spans="1:15" s="112" customFormat="1" ht="13.5" customHeight="1" thickBot="1" thickTop="1">
      <c r="A181" s="108" t="s">
        <v>87</v>
      </c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13"/>
      <c r="M181" s="113"/>
      <c r="N181" s="113"/>
      <c r="O181" s="111"/>
    </row>
    <row r="182" spans="1:15" ht="13.5" customHeight="1" thickBot="1" thickTop="1">
      <c r="A182" s="54">
        <v>1</v>
      </c>
      <c r="B182" s="55" t="str">
        <f>"Szafa endoskopowa"</f>
        <v>Szafa endoskopowa</v>
      </c>
      <c r="C182" s="44" t="str">
        <f>"ECS-10T"</f>
        <v>ECS-10T</v>
      </c>
      <c r="D182" s="44" t="s">
        <v>173</v>
      </c>
      <c r="E182" s="44">
        <v>3</v>
      </c>
      <c r="F182" s="44">
        <v>12</v>
      </c>
      <c r="G182" s="56">
        <v>1</v>
      </c>
      <c r="H182" s="57"/>
      <c r="I182" s="55"/>
      <c r="J182" s="58"/>
      <c r="K182" s="94"/>
      <c r="L182" s="64"/>
      <c r="M182" s="65"/>
      <c r="N182" s="66"/>
      <c r="O182" s="59"/>
    </row>
    <row r="183" spans="1:15" s="112" customFormat="1" ht="12.75" customHeight="1" thickBot="1" thickTop="1">
      <c r="A183" s="108" t="s">
        <v>88</v>
      </c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20"/>
      <c r="M183" s="120"/>
      <c r="N183" s="120"/>
      <c r="O183" s="111"/>
    </row>
    <row r="184" spans="1:16" ht="24" customHeight="1">
      <c r="A184" s="48">
        <v>1</v>
      </c>
      <c r="B184" s="74" t="str">
        <f>"Wiertarka - duża ortopedia Acculan3 Ti"</f>
        <v>Wiertarka - duża ortopedia Acculan3 Ti</v>
      </c>
      <c r="C184" s="50" t="str">
        <f>"GA672/GA673"</f>
        <v>GA672/GA673</v>
      </c>
      <c r="D184" s="50" t="s">
        <v>174</v>
      </c>
      <c r="E184" s="50">
        <v>8</v>
      </c>
      <c r="F184" s="50">
        <v>12</v>
      </c>
      <c r="G184" s="51">
        <v>1</v>
      </c>
      <c r="H184" s="52"/>
      <c r="I184" s="52"/>
      <c r="J184" s="49"/>
      <c r="K184" s="52"/>
      <c r="L184" s="52"/>
      <c r="M184" s="52"/>
      <c r="N184" s="52"/>
      <c r="O184" s="95"/>
      <c r="P184" s="3"/>
    </row>
    <row r="185" spans="1:16" ht="28.5" customHeight="1">
      <c r="A185" s="19">
        <v>2</v>
      </c>
      <c r="B185" s="25" t="str">
        <f>"Wiertarka akumulatorowa Acculan 3 Ti"</f>
        <v>Wiertarka akumulatorowa Acculan 3 Ti</v>
      </c>
      <c r="C185" s="24" t="str">
        <f>"GA671"</f>
        <v>GA671</v>
      </c>
      <c r="D185" s="24" t="s">
        <v>174</v>
      </c>
      <c r="E185" s="24">
        <v>3</v>
      </c>
      <c r="F185" s="24">
        <v>12</v>
      </c>
      <c r="G185" s="42">
        <v>1</v>
      </c>
      <c r="H185" s="11"/>
      <c r="I185" s="11"/>
      <c r="J185" s="1"/>
      <c r="K185" s="11"/>
      <c r="L185" s="11"/>
      <c r="M185" s="11"/>
      <c r="N185" s="11"/>
      <c r="O185" s="21"/>
      <c r="P185" s="3"/>
    </row>
    <row r="186" spans="1:16" ht="23.25" customHeight="1">
      <c r="A186" s="19">
        <v>3</v>
      </c>
      <c r="B186" s="25" t="str">
        <f>"Wiertarka chirurg. plastyczna Acculan3 Ti"</f>
        <v>Wiertarka chirurg. plastyczna Acculan3 Ti</v>
      </c>
      <c r="C186" s="24" t="str">
        <f>"GA671"</f>
        <v>GA671</v>
      </c>
      <c r="D186" s="24" t="s">
        <v>174</v>
      </c>
      <c r="E186" s="24">
        <v>1</v>
      </c>
      <c r="F186" s="24">
        <v>12</v>
      </c>
      <c r="G186" s="42">
        <v>1</v>
      </c>
      <c r="H186" s="11"/>
      <c r="I186" s="11"/>
      <c r="J186" s="1"/>
      <c r="K186" s="11"/>
      <c r="L186" s="11"/>
      <c r="M186" s="11"/>
      <c r="N186" s="11"/>
      <c r="O186" s="21"/>
      <c r="P186" s="3"/>
    </row>
    <row r="187" spans="1:16" ht="22.5">
      <c r="A187" s="19">
        <v>4</v>
      </c>
      <c r="B187" s="25" t="str">
        <f>"Wiertarka -mała ortopedia Acculac3 Ti"</f>
        <v>Wiertarka -mała ortopedia Acculac3 Ti</v>
      </c>
      <c r="C187" s="24" t="str">
        <f>"GA671"</f>
        <v>GA671</v>
      </c>
      <c r="D187" s="24" t="s">
        <v>174</v>
      </c>
      <c r="E187" s="24">
        <v>1</v>
      </c>
      <c r="F187" s="24">
        <v>12</v>
      </c>
      <c r="G187" s="42">
        <v>1</v>
      </c>
      <c r="H187" s="11"/>
      <c r="I187" s="11"/>
      <c r="J187" s="1"/>
      <c r="K187" s="11"/>
      <c r="L187" s="11"/>
      <c r="M187" s="11"/>
      <c r="N187" s="11"/>
      <c r="O187" s="21"/>
      <c r="P187" s="3"/>
    </row>
    <row r="188" spans="1:16" ht="15" customHeight="1">
      <c r="A188" s="19">
        <v>5</v>
      </c>
      <c r="B188" s="25" t="str">
        <f>"Wiertarka microspeed zestaw"</f>
        <v>Wiertarka microspeed zestaw</v>
      </c>
      <c r="C188" s="24" t="str">
        <f>"GD675"</f>
        <v>GD675</v>
      </c>
      <c r="D188" s="24" t="s">
        <v>174</v>
      </c>
      <c r="E188" s="24">
        <v>7</v>
      </c>
      <c r="F188" s="24">
        <v>12</v>
      </c>
      <c r="G188" s="42">
        <v>1</v>
      </c>
      <c r="H188" s="11"/>
      <c r="I188" s="11"/>
      <c r="J188" s="1"/>
      <c r="K188" s="11"/>
      <c r="L188" s="11"/>
      <c r="M188" s="11"/>
      <c r="N188" s="11"/>
      <c r="O188" s="21"/>
      <c r="P188" s="3"/>
    </row>
    <row r="189" spans="1:16" ht="20.25" customHeight="1">
      <c r="A189" s="19">
        <v>6</v>
      </c>
      <c r="B189" s="25" t="str">
        <f>"wiertarka neurochirurgiczna"</f>
        <v>wiertarka neurochirurgiczna</v>
      </c>
      <c r="C189" s="24" t="str">
        <f>"GD670"</f>
        <v>GD670</v>
      </c>
      <c r="D189" s="24" t="s">
        <v>174</v>
      </c>
      <c r="E189" s="24">
        <v>1</v>
      </c>
      <c r="F189" s="24">
        <v>12</v>
      </c>
      <c r="G189" s="42">
        <v>1</v>
      </c>
      <c r="H189" s="11"/>
      <c r="I189" s="11"/>
      <c r="J189" s="1"/>
      <c r="K189" s="11"/>
      <c r="L189" s="11"/>
      <c r="M189" s="11"/>
      <c r="N189" s="11"/>
      <c r="O189" s="21"/>
      <c r="P189" s="3"/>
    </row>
    <row r="190" spans="1:16" ht="16.5" customHeight="1" thickBot="1">
      <c r="A190" s="19">
        <v>7</v>
      </c>
      <c r="B190" s="25" t="str">
        <f>"wiertarka neurochirurgiczna"</f>
        <v>wiertarka neurochirurgiczna</v>
      </c>
      <c r="C190" s="24" t="str">
        <f>"Microspeed Uni GD670"</f>
        <v>Microspeed Uni GD670</v>
      </c>
      <c r="D190" s="24" t="s">
        <v>174</v>
      </c>
      <c r="E190" s="24">
        <v>2</v>
      </c>
      <c r="F190" s="24">
        <v>12</v>
      </c>
      <c r="G190" s="42">
        <v>1</v>
      </c>
      <c r="H190" s="11"/>
      <c r="I190" s="11"/>
      <c r="J190" s="1"/>
      <c r="K190" s="11"/>
      <c r="L190" s="11"/>
      <c r="M190" s="11"/>
      <c r="N190" s="11"/>
      <c r="O190" s="21"/>
      <c r="P190" s="3"/>
    </row>
    <row r="191" spans="1:16" ht="17.25" customHeight="1" thickBot="1" thickTop="1">
      <c r="A191" s="67" t="s">
        <v>186</v>
      </c>
      <c r="B191" s="43" t="s">
        <v>186</v>
      </c>
      <c r="C191" s="43" t="s">
        <v>186</v>
      </c>
      <c r="D191" s="43" t="s">
        <v>186</v>
      </c>
      <c r="E191" s="43" t="s">
        <v>186</v>
      </c>
      <c r="F191" s="68" t="s">
        <v>186</v>
      </c>
      <c r="G191" s="69" t="s">
        <v>186</v>
      </c>
      <c r="H191" s="43" t="s">
        <v>186</v>
      </c>
      <c r="I191" s="43" t="s">
        <v>186</v>
      </c>
      <c r="J191" s="43" t="s">
        <v>186</v>
      </c>
      <c r="K191" s="70" t="s">
        <v>4</v>
      </c>
      <c r="L191" s="64"/>
      <c r="M191" s="65"/>
      <c r="N191" s="66"/>
      <c r="O191" s="82"/>
      <c r="P191" s="3"/>
    </row>
    <row r="192" spans="1:16" s="112" customFormat="1" ht="13.5" customHeight="1" thickBot="1" thickTop="1">
      <c r="A192" s="108" t="s">
        <v>89</v>
      </c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20"/>
      <c r="M192" s="120"/>
      <c r="N192" s="120"/>
      <c r="O192" s="111"/>
      <c r="P192" s="135"/>
    </row>
    <row r="193" spans="1:15" ht="15" customHeight="1">
      <c r="A193" s="48">
        <v>1</v>
      </c>
      <c r="B193" s="49" t="str">
        <f>"wiertarka ortopedyczna"</f>
        <v>wiertarka ortopedyczna</v>
      </c>
      <c r="C193" s="50" t="str">
        <f>"PRo 6202M"</f>
        <v>PRo 6202M</v>
      </c>
      <c r="D193" s="50" t="str">
        <f>"Conmed Linvatec"</f>
        <v>Conmed Linvatec</v>
      </c>
      <c r="E193" s="50">
        <v>2014</v>
      </c>
      <c r="F193" s="149">
        <v>12</v>
      </c>
      <c r="G193" s="150">
        <v>1</v>
      </c>
      <c r="H193" s="52"/>
      <c r="I193" s="49"/>
      <c r="J193" s="49"/>
      <c r="K193" s="49"/>
      <c r="L193" s="49"/>
      <c r="M193" s="49"/>
      <c r="N193" s="49"/>
      <c r="O193" s="62"/>
    </row>
    <row r="194" spans="1:15" ht="18" customHeight="1" thickBot="1">
      <c r="A194" s="19">
        <v>2</v>
      </c>
      <c r="B194" s="1" t="str">
        <f>"wiertarka ortopedyczna"</f>
        <v>wiertarka ortopedyczna</v>
      </c>
      <c r="C194" s="24" t="str">
        <f>"pro 6200M"</f>
        <v>pro 6200M</v>
      </c>
      <c r="D194" s="24" t="str">
        <f>"Conmed Linvatec"</f>
        <v>Conmed Linvatec</v>
      </c>
      <c r="E194" s="24">
        <v>2014</v>
      </c>
      <c r="F194" s="149">
        <v>12</v>
      </c>
      <c r="G194" s="151">
        <v>1</v>
      </c>
      <c r="H194" s="11"/>
      <c r="I194" s="1"/>
      <c r="J194" s="1"/>
      <c r="K194" s="1"/>
      <c r="L194" s="1"/>
      <c r="M194" s="1"/>
      <c r="N194" s="1"/>
      <c r="O194" s="20"/>
    </row>
    <row r="195" spans="1:15" ht="19.5" customHeight="1" thickBot="1" thickTop="1">
      <c r="A195" s="67" t="s">
        <v>186</v>
      </c>
      <c r="B195" s="43" t="s">
        <v>186</v>
      </c>
      <c r="C195" s="43" t="s">
        <v>186</v>
      </c>
      <c r="D195" s="43" t="s">
        <v>186</v>
      </c>
      <c r="E195" s="43" t="s">
        <v>186</v>
      </c>
      <c r="F195" s="68" t="s">
        <v>186</v>
      </c>
      <c r="G195" s="69" t="s">
        <v>186</v>
      </c>
      <c r="H195" s="43" t="s">
        <v>186</v>
      </c>
      <c r="I195" s="43" t="s">
        <v>186</v>
      </c>
      <c r="J195" s="43" t="s">
        <v>186</v>
      </c>
      <c r="K195" s="70" t="s">
        <v>4</v>
      </c>
      <c r="L195" s="64"/>
      <c r="M195" s="65"/>
      <c r="N195" s="66"/>
      <c r="O195" s="82"/>
    </row>
    <row r="196" spans="1:15" s="112" customFormat="1" ht="13.5" customHeight="1" thickBot="1" thickTop="1">
      <c r="A196" s="108" t="s">
        <v>90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13"/>
      <c r="M196" s="113"/>
      <c r="N196" s="113"/>
      <c r="O196" s="111"/>
    </row>
    <row r="197" spans="1:15" ht="17.25" customHeight="1" thickBot="1" thickTop="1">
      <c r="A197" s="54">
        <v>1</v>
      </c>
      <c r="B197" s="55" t="str">
        <f>"wiertarka chirurgiczna"</f>
        <v>wiertarka chirurgiczna</v>
      </c>
      <c r="C197" s="44" t="str">
        <f>"Power Modul"</f>
        <v>Power Modul</v>
      </c>
      <c r="D197" s="44" t="s">
        <v>175</v>
      </c>
      <c r="E197" s="44">
        <v>1</v>
      </c>
      <c r="F197" s="44">
        <v>12</v>
      </c>
      <c r="G197" s="56">
        <v>1</v>
      </c>
      <c r="H197" s="57"/>
      <c r="I197" s="55"/>
      <c r="J197" s="58"/>
      <c r="K197" s="55"/>
      <c r="L197" s="64"/>
      <c r="M197" s="65"/>
      <c r="N197" s="66"/>
      <c r="O197" s="59"/>
    </row>
    <row r="198" spans="1:15" s="112" customFormat="1" ht="12.75" customHeight="1" thickBot="1" thickTop="1">
      <c r="A198" s="108" t="s">
        <v>91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13"/>
      <c r="M198" s="113"/>
      <c r="N198" s="113"/>
      <c r="O198" s="111"/>
    </row>
    <row r="199" spans="1:15" ht="19.5" customHeight="1" thickBot="1" thickTop="1">
      <c r="A199" s="54">
        <v>1</v>
      </c>
      <c r="B199" s="55" t="str">
        <f>"Pompa kontrpulsacyjna"</f>
        <v>Pompa kontrpulsacyjna</v>
      </c>
      <c r="C199" s="44" t="str">
        <f>"CARDIOSAVE"</f>
        <v>CARDIOSAVE</v>
      </c>
      <c r="D199" s="44" t="s">
        <v>176</v>
      </c>
      <c r="E199" s="44">
        <v>3</v>
      </c>
      <c r="F199" s="44">
        <v>12</v>
      </c>
      <c r="G199" s="56">
        <v>1</v>
      </c>
      <c r="H199" s="57"/>
      <c r="I199" s="57"/>
      <c r="J199" s="96"/>
      <c r="K199" s="57"/>
      <c r="L199" s="64"/>
      <c r="M199" s="65"/>
      <c r="N199" s="66"/>
      <c r="O199" s="59"/>
    </row>
    <row r="200" spans="1:15" s="112" customFormat="1" ht="12.75" customHeight="1" thickBot="1" thickTop="1">
      <c r="A200" s="108" t="s">
        <v>92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13"/>
      <c r="M200" s="113"/>
      <c r="N200" s="113"/>
      <c r="O200" s="111"/>
    </row>
    <row r="201" spans="1:15" ht="16.5" customHeight="1" thickBot="1" thickTop="1">
      <c r="A201" s="54">
        <v>1</v>
      </c>
      <c r="B201" s="55" t="str">
        <f>"pompa artoskopowa"</f>
        <v>pompa artoskopowa</v>
      </c>
      <c r="C201" s="44" t="str">
        <f>"Irene"</f>
        <v>Irene</v>
      </c>
      <c r="D201" s="44" t="s">
        <v>177</v>
      </c>
      <c r="E201" s="44">
        <v>1</v>
      </c>
      <c r="F201" s="44">
        <v>12</v>
      </c>
      <c r="G201" s="56">
        <v>1</v>
      </c>
      <c r="H201" s="57"/>
      <c r="I201" s="57"/>
      <c r="J201" s="96"/>
      <c r="K201" s="57"/>
      <c r="L201" s="64"/>
      <c r="M201" s="65"/>
      <c r="N201" s="66"/>
      <c r="O201" s="59"/>
    </row>
    <row r="202" spans="1:15" s="112" customFormat="1" ht="12.75" customHeight="1" thickBot="1" thickTop="1">
      <c r="A202" s="108" t="s">
        <v>93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13"/>
      <c r="M202" s="113"/>
      <c r="N202" s="113"/>
      <c r="O202" s="111"/>
    </row>
    <row r="203" spans="1:15" ht="24" customHeight="1" thickBot="1" thickTop="1">
      <c r="A203" s="54">
        <v>1</v>
      </c>
      <c r="B203" s="75" t="str">
        <f>"Pompa do spłukiwania pola obserwacji"</f>
        <v>Pompa do spłukiwania pola obserwacji</v>
      </c>
      <c r="C203" s="44" t="str">
        <f>"ENDO-WASHER 2003"</f>
        <v>ENDO-WASHER 2003</v>
      </c>
      <c r="D203" s="44" t="s">
        <v>102</v>
      </c>
      <c r="E203" s="44">
        <v>4</v>
      </c>
      <c r="F203" s="44">
        <v>12</v>
      </c>
      <c r="G203" s="56">
        <v>1</v>
      </c>
      <c r="H203" s="57"/>
      <c r="I203" s="57"/>
      <c r="J203" s="96"/>
      <c r="K203" s="57"/>
      <c r="L203" s="64"/>
      <c r="M203" s="65"/>
      <c r="N203" s="66"/>
      <c r="O203" s="59"/>
    </row>
    <row r="204" spans="1:15" s="112" customFormat="1" ht="12.75" customHeight="1" thickBot="1" thickTop="1">
      <c r="A204" s="108" t="s">
        <v>94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13"/>
      <c r="M204" s="113"/>
      <c r="N204" s="113"/>
      <c r="O204" s="111"/>
    </row>
    <row r="205" spans="1:15" ht="17.25" customHeight="1" thickBot="1" thickTop="1">
      <c r="A205" s="54">
        <v>1</v>
      </c>
      <c r="B205" s="55" t="str">
        <f>"aparat do znieczulania"</f>
        <v>aparat do znieczulania</v>
      </c>
      <c r="C205" s="44" t="str">
        <f>"Fabius MRi"</f>
        <v>Fabius MRi</v>
      </c>
      <c r="D205" s="44" t="s">
        <v>107</v>
      </c>
      <c r="E205" s="44">
        <v>1</v>
      </c>
      <c r="F205" s="44">
        <v>12</v>
      </c>
      <c r="G205" s="56">
        <v>1</v>
      </c>
      <c r="H205" s="57"/>
      <c r="I205" s="55"/>
      <c r="J205" s="58"/>
      <c r="K205" s="55"/>
      <c r="L205" s="64"/>
      <c r="M205" s="65"/>
      <c r="N205" s="66"/>
      <c r="O205" s="59"/>
    </row>
    <row r="206" spans="1:15" s="112" customFormat="1" ht="12.75" customHeight="1" thickBot="1" thickTop="1">
      <c r="A206" s="108" t="s">
        <v>95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20"/>
      <c r="M206" s="120"/>
      <c r="N206" s="120"/>
      <c r="O206" s="111"/>
    </row>
    <row r="207" spans="1:15" ht="14.25" customHeight="1">
      <c r="A207" s="48">
        <v>1</v>
      </c>
      <c r="B207" s="49" t="str">
        <f aca="true" t="shared" si="2" ref="B207:B216">"aparat do znieczulania"</f>
        <v>aparat do znieczulania</v>
      </c>
      <c r="C207" s="50" t="str">
        <f>"Aespire/5 typ 7100"</f>
        <v>Aespire/5 typ 7100</v>
      </c>
      <c r="D207" s="50" t="s">
        <v>178</v>
      </c>
      <c r="E207" s="50">
        <v>1</v>
      </c>
      <c r="F207" s="50">
        <v>12</v>
      </c>
      <c r="G207" s="51">
        <v>1</v>
      </c>
      <c r="H207" s="52"/>
      <c r="I207" s="49"/>
      <c r="J207" s="49"/>
      <c r="K207" s="49"/>
      <c r="L207" s="49"/>
      <c r="M207" s="49"/>
      <c r="N207" s="49"/>
      <c r="O207" s="62"/>
    </row>
    <row r="208" spans="1:15" ht="20.25" customHeight="1">
      <c r="A208" s="19">
        <v>2</v>
      </c>
      <c r="B208" s="1" t="str">
        <f t="shared" si="2"/>
        <v>aparat do znieczulania</v>
      </c>
      <c r="C208" s="24" t="str">
        <f>"Aespire/5 typ 7100"</f>
        <v>Aespire/5 typ 7100</v>
      </c>
      <c r="D208" s="24" t="s">
        <v>179</v>
      </c>
      <c r="E208" s="24">
        <v>1</v>
      </c>
      <c r="F208" s="24">
        <v>12</v>
      </c>
      <c r="G208" s="42">
        <v>1</v>
      </c>
      <c r="H208" s="11"/>
      <c r="I208" s="1"/>
      <c r="J208" s="1"/>
      <c r="K208" s="1"/>
      <c r="L208" s="1"/>
      <c r="M208" s="1"/>
      <c r="N208" s="1"/>
      <c r="O208" s="20"/>
    </row>
    <row r="209" spans="1:15" ht="16.5" customHeight="1">
      <c r="A209" s="19">
        <v>3</v>
      </c>
      <c r="B209" s="1" t="str">
        <f t="shared" si="2"/>
        <v>aparat do znieczulania</v>
      </c>
      <c r="C209" s="24" t="str">
        <f>"Aespire/CAM"</f>
        <v>Aespire/CAM</v>
      </c>
      <c r="D209" s="24" t="s">
        <v>180</v>
      </c>
      <c r="E209" s="24">
        <v>1</v>
      </c>
      <c r="F209" s="24">
        <v>12</v>
      </c>
      <c r="G209" s="42">
        <v>1</v>
      </c>
      <c r="H209" s="11"/>
      <c r="I209" s="1"/>
      <c r="J209" s="1"/>
      <c r="K209" s="1"/>
      <c r="L209" s="1"/>
      <c r="M209" s="1"/>
      <c r="N209" s="1"/>
      <c r="O209" s="20"/>
    </row>
    <row r="210" spans="1:15" ht="12.75" customHeight="1">
      <c r="A210" s="19">
        <v>4</v>
      </c>
      <c r="B210" s="1" t="str">
        <f t="shared" si="2"/>
        <v>aparat do znieczulania</v>
      </c>
      <c r="C210" s="24" t="str">
        <f>"Aestiva 5/7100"</f>
        <v>Aestiva 5/7100</v>
      </c>
      <c r="D210" s="24" t="s">
        <v>192</v>
      </c>
      <c r="E210" s="24">
        <v>1</v>
      </c>
      <c r="F210" s="24">
        <v>12</v>
      </c>
      <c r="G210" s="42">
        <v>1</v>
      </c>
      <c r="H210" s="11"/>
      <c r="I210" s="1"/>
      <c r="J210" s="1"/>
      <c r="K210" s="1"/>
      <c r="L210" s="1"/>
      <c r="M210" s="1"/>
      <c r="N210" s="1"/>
      <c r="O210" s="20"/>
    </row>
    <row r="211" spans="1:15" ht="13.5" customHeight="1">
      <c r="A211" s="19">
        <v>5</v>
      </c>
      <c r="B211" s="1" t="str">
        <f t="shared" si="2"/>
        <v>aparat do znieczulania</v>
      </c>
      <c r="C211" s="24" t="str">
        <f>"S/5 Aespire/5"</f>
        <v>S/5 Aespire/5</v>
      </c>
      <c r="D211" s="24" t="s">
        <v>178</v>
      </c>
      <c r="E211" s="24">
        <v>2</v>
      </c>
      <c r="F211" s="24">
        <v>12</v>
      </c>
      <c r="G211" s="42">
        <v>1</v>
      </c>
      <c r="H211" s="11"/>
      <c r="I211" s="1"/>
      <c r="J211" s="1"/>
      <c r="K211" s="1"/>
      <c r="L211" s="1"/>
      <c r="M211" s="1"/>
      <c r="N211" s="1"/>
      <c r="O211" s="20"/>
    </row>
    <row r="212" spans="1:15" ht="15.75" customHeight="1">
      <c r="A212" s="19">
        <v>6</v>
      </c>
      <c r="B212" s="1" t="str">
        <f t="shared" si="2"/>
        <v>aparat do znieczulania</v>
      </c>
      <c r="C212" s="24" t="str">
        <f>"S/5 Aespire/5 7900"</f>
        <v>S/5 Aespire/5 7900</v>
      </c>
      <c r="D212" s="24" t="s">
        <v>179</v>
      </c>
      <c r="E212" s="24">
        <v>1</v>
      </c>
      <c r="F212" s="24">
        <v>12</v>
      </c>
      <c r="G212" s="42">
        <v>1</v>
      </c>
      <c r="H212" s="11"/>
      <c r="I212" s="1"/>
      <c r="J212" s="1"/>
      <c r="K212" s="1"/>
      <c r="L212" s="1"/>
      <c r="M212" s="1"/>
      <c r="N212" s="1"/>
      <c r="O212" s="20"/>
    </row>
    <row r="213" spans="1:15" ht="14.25" customHeight="1" thickBot="1">
      <c r="A213" s="19">
        <v>7</v>
      </c>
      <c r="B213" s="1" t="str">
        <f>"aparat do znieczulania"</f>
        <v>aparat do znieczulania</v>
      </c>
      <c r="C213" s="24" t="str">
        <f>"S/5 Avance"</f>
        <v>S/5 Avance</v>
      </c>
      <c r="D213" s="24" t="s">
        <v>181</v>
      </c>
      <c r="E213" s="24">
        <v>2</v>
      </c>
      <c r="F213" s="24">
        <v>12</v>
      </c>
      <c r="G213" s="42">
        <v>1</v>
      </c>
      <c r="H213" s="11"/>
      <c r="I213" s="1"/>
      <c r="J213" s="1"/>
      <c r="K213" s="1"/>
      <c r="L213" s="1"/>
      <c r="M213" s="1"/>
      <c r="N213" s="1"/>
      <c r="O213" s="20"/>
    </row>
    <row r="214" spans="1:15" ht="15" customHeight="1" thickBot="1" thickTop="1">
      <c r="A214" s="67" t="s">
        <v>186</v>
      </c>
      <c r="B214" s="43" t="s">
        <v>186</v>
      </c>
      <c r="C214" s="43" t="s">
        <v>186</v>
      </c>
      <c r="D214" s="43" t="s">
        <v>186</v>
      </c>
      <c r="E214" s="43" t="s">
        <v>186</v>
      </c>
      <c r="F214" s="68" t="s">
        <v>186</v>
      </c>
      <c r="G214" s="69" t="s">
        <v>186</v>
      </c>
      <c r="H214" s="43" t="s">
        <v>186</v>
      </c>
      <c r="I214" s="43" t="s">
        <v>186</v>
      </c>
      <c r="J214" s="43" t="s">
        <v>186</v>
      </c>
      <c r="K214" s="70" t="s">
        <v>4</v>
      </c>
      <c r="L214" s="64"/>
      <c r="M214" s="65"/>
      <c r="N214" s="66"/>
      <c r="O214" s="82"/>
    </row>
    <row r="215" spans="1:15" s="112" customFormat="1" ht="13.5" customHeight="1" thickBot="1" thickTop="1">
      <c r="A215" s="108" t="s">
        <v>96</v>
      </c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13"/>
      <c r="M215" s="113"/>
      <c r="N215" s="113"/>
      <c r="O215" s="111"/>
    </row>
    <row r="216" spans="1:15" s="99" customFormat="1" ht="23.25" customHeight="1" thickBot="1" thickTop="1">
      <c r="A216" s="77">
        <v>1</v>
      </c>
      <c r="B216" s="55" t="str">
        <f t="shared" si="2"/>
        <v>aparat do znieczulania</v>
      </c>
      <c r="C216" s="76" t="s">
        <v>8</v>
      </c>
      <c r="D216" s="76" t="s">
        <v>182</v>
      </c>
      <c r="E216" s="44">
        <v>2</v>
      </c>
      <c r="F216" s="44">
        <v>12</v>
      </c>
      <c r="G216" s="56">
        <v>1</v>
      </c>
      <c r="H216" s="57"/>
      <c r="I216" s="55"/>
      <c r="J216" s="55"/>
      <c r="K216" s="83"/>
      <c r="L216" s="64"/>
      <c r="M216" s="65"/>
      <c r="N216" s="66"/>
      <c r="O216" s="59"/>
    </row>
    <row r="217" spans="1:15" s="124" customFormat="1" ht="12.75" customHeight="1" thickBot="1" thickTop="1">
      <c r="A217" s="108" t="s">
        <v>97</v>
      </c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20"/>
      <c r="M217" s="120"/>
      <c r="N217" s="120"/>
      <c r="O217" s="111"/>
    </row>
    <row r="218" spans="1:15" s="100" customFormat="1" ht="15" customHeight="1" thickBot="1">
      <c r="A218" s="54">
        <v>1</v>
      </c>
      <c r="B218" s="55" t="str">
        <f>"Aparat EEG"</f>
        <v>Aparat EEG</v>
      </c>
      <c r="C218" s="44" t="str">
        <f>"Digi Track"</f>
        <v>Digi Track</v>
      </c>
      <c r="D218" s="44" t="s">
        <v>183</v>
      </c>
      <c r="E218" s="44">
        <v>1</v>
      </c>
      <c r="F218" s="44">
        <v>12</v>
      </c>
      <c r="G218" s="56">
        <v>1</v>
      </c>
      <c r="H218" s="57"/>
      <c r="I218" s="55"/>
      <c r="J218" s="55"/>
      <c r="K218" s="94"/>
      <c r="L218" s="136"/>
      <c r="M218" s="55"/>
      <c r="N218" s="94"/>
      <c r="O218" s="59"/>
    </row>
    <row r="219" spans="1:15" s="124" customFormat="1" ht="12.75" customHeight="1" thickBot="1">
      <c r="A219" s="108" t="s">
        <v>98</v>
      </c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10"/>
      <c r="M219" s="110"/>
      <c r="N219" s="110"/>
      <c r="O219" s="111"/>
    </row>
    <row r="220" spans="1:15" s="101" customFormat="1" ht="20.25" customHeight="1" thickBot="1" thickTop="1">
      <c r="A220" s="137">
        <v>1</v>
      </c>
      <c r="B220" s="31" t="str">
        <f>"Aparat EMG"</f>
        <v>Aparat EMG</v>
      </c>
      <c r="C220" s="98" t="str">
        <f>"Keypoint GT"</f>
        <v>Keypoint GT</v>
      </c>
      <c r="D220" s="97" t="s">
        <v>184</v>
      </c>
      <c r="E220" s="97">
        <v>1</v>
      </c>
      <c r="F220" s="97">
        <v>12</v>
      </c>
      <c r="G220" s="103">
        <v>1</v>
      </c>
      <c r="H220" s="104"/>
      <c r="I220" s="105"/>
      <c r="J220" s="31"/>
      <c r="K220" s="102"/>
      <c r="L220" s="139"/>
      <c r="M220" s="140"/>
      <c r="N220" s="141"/>
      <c r="O220" s="53"/>
    </row>
    <row r="221" spans="2:14" ht="11.25"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</row>
    <row r="222" spans="2:14" ht="11.25">
      <c r="B222" s="39"/>
      <c r="C222" s="39"/>
      <c r="D222" s="40"/>
      <c r="E222" s="40"/>
      <c r="F222" s="40"/>
      <c r="G222" s="40"/>
      <c r="H222" s="40"/>
      <c r="I222" s="40"/>
      <c r="J222" s="41"/>
      <c r="K222" s="41"/>
      <c r="L222" s="41"/>
      <c r="M222" s="41"/>
      <c r="N222" s="41"/>
    </row>
    <row r="223" spans="2:14" ht="12.75">
      <c r="B223" s="32"/>
      <c r="C223" s="32"/>
      <c r="D223" s="33"/>
      <c r="E223" s="33"/>
      <c r="F223" s="33"/>
      <c r="G223" s="33"/>
      <c r="H223" s="35"/>
      <c r="I223" s="36"/>
      <c r="J223" s="37" t="s">
        <v>188</v>
      </c>
      <c r="K223" s="38"/>
      <c r="L223" s="38"/>
      <c r="M223" s="34"/>
      <c r="N223" s="34"/>
    </row>
    <row r="224" spans="2:14" ht="12.75">
      <c r="B224" s="32"/>
      <c r="C224" s="32"/>
      <c r="D224" s="33"/>
      <c r="E224" s="33"/>
      <c r="F224" s="33"/>
      <c r="G224" s="33"/>
      <c r="H224" s="35"/>
      <c r="I224" s="36"/>
      <c r="J224" s="39" t="s">
        <v>189</v>
      </c>
      <c r="K224" s="38"/>
      <c r="L224" s="38"/>
      <c r="M224" s="34"/>
      <c r="N224" s="34"/>
    </row>
    <row r="225" spans="6:8" ht="11.25">
      <c r="F225" s="2"/>
      <c r="G225" s="2"/>
      <c r="H225" s="2"/>
    </row>
    <row r="226" spans="6:8" ht="11.25">
      <c r="F226" s="2"/>
      <c r="G226" s="2"/>
      <c r="H226" s="2"/>
    </row>
    <row r="227" spans="6:8" ht="11.25">
      <c r="F227" s="2"/>
      <c r="G227" s="2"/>
      <c r="H227" s="2"/>
    </row>
    <row r="228" spans="6:8" ht="11.25">
      <c r="F228" s="2"/>
      <c r="G228" s="2"/>
      <c r="H228" s="2"/>
    </row>
    <row r="229" spans="6:8" ht="11.25">
      <c r="F229" s="2"/>
      <c r="G229" s="2"/>
      <c r="H229" s="2"/>
    </row>
    <row r="230" spans="6:8" ht="11.25">
      <c r="F230" s="2"/>
      <c r="G230" s="2"/>
      <c r="H230" s="2"/>
    </row>
    <row r="231" spans="6:8" ht="11.25">
      <c r="F231" s="2"/>
      <c r="G231" s="2"/>
      <c r="H231" s="2"/>
    </row>
    <row r="232" spans="6:8" ht="11.25">
      <c r="F232" s="2"/>
      <c r="G232" s="2"/>
      <c r="H232" s="2"/>
    </row>
    <row r="233" spans="6:8" ht="11.25">
      <c r="F233" s="2"/>
      <c r="G233" s="2"/>
      <c r="H233" s="2"/>
    </row>
    <row r="234" spans="6:8" ht="11.25">
      <c r="F234" s="2"/>
      <c r="G234" s="2"/>
      <c r="H234" s="2"/>
    </row>
    <row r="235" spans="6:8" ht="11.25">
      <c r="F235" s="2"/>
      <c r="G235" s="2"/>
      <c r="H235" s="2"/>
    </row>
    <row r="236" spans="6:8" ht="11.25">
      <c r="F236" s="9"/>
      <c r="G236" s="10"/>
      <c r="H236" s="10"/>
    </row>
    <row r="237" spans="6:8" ht="11.25">
      <c r="F237" s="9"/>
      <c r="G237" s="10"/>
      <c r="H237" s="10"/>
    </row>
    <row r="238" spans="6:8" ht="11.25">
      <c r="F238" s="9"/>
      <c r="G238" s="10"/>
      <c r="H238" s="10"/>
    </row>
    <row r="239" spans="6:8" ht="11.25">
      <c r="F239" s="9"/>
      <c r="G239" s="10"/>
      <c r="H239" s="10"/>
    </row>
    <row r="240" spans="6:8" ht="11.25">
      <c r="F240" s="9"/>
      <c r="G240" s="10"/>
      <c r="H240" s="10"/>
    </row>
    <row r="241" spans="6:8" ht="11.25">
      <c r="F241" s="9"/>
      <c r="G241" s="10"/>
      <c r="H241" s="10"/>
    </row>
    <row r="242" spans="6:8" ht="11.25">
      <c r="F242" s="9"/>
      <c r="G242" s="10"/>
      <c r="H242" s="10"/>
    </row>
    <row r="243" spans="6:8" ht="11.25">
      <c r="F243" s="9"/>
      <c r="G243" s="10"/>
      <c r="H243" s="10"/>
    </row>
    <row r="244" spans="6:8" ht="11.25">
      <c r="F244" s="9"/>
      <c r="G244" s="10"/>
      <c r="H244" s="10"/>
    </row>
    <row r="245" spans="6:8" ht="11.25">
      <c r="F245" s="9"/>
      <c r="G245" s="10"/>
      <c r="H245" s="10"/>
    </row>
    <row r="246" spans="6:8" ht="11.25">
      <c r="F246" s="9"/>
      <c r="G246" s="10"/>
      <c r="H246" s="10"/>
    </row>
    <row r="247" spans="6:8" ht="11.25">
      <c r="F247" s="9"/>
      <c r="G247" s="10"/>
      <c r="H247" s="10"/>
    </row>
    <row r="248" spans="6:8" ht="11.25">
      <c r="F248" s="9"/>
      <c r="G248" s="10"/>
      <c r="H248" s="10"/>
    </row>
    <row r="249" spans="6:8" ht="11.25">
      <c r="F249" s="9"/>
      <c r="G249" s="10"/>
      <c r="H249" s="10"/>
    </row>
    <row r="250" spans="6:8" ht="11.25">
      <c r="F250" s="9"/>
      <c r="G250" s="10"/>
      <c r="H250" s="10"/>
    </row>
    <row r="251" spans="6:8" ht="11.25">
      <c r="F251" s="9"/>
      <c r="G251" s="10"/>
      <c r="H251" s="10"/>
    </row>
    <row r="252" spans="6:8" ht="11.25">
      <c r="F252" s="9"/>
      <c r="G252" s="10"/>
      <c r="H252" s="10"/>
    </row>
    <row r="253" spans="6:8" ht="11.25">
      <c r="F253" s="9"/>
      <c r="G253" s="10"/>
      <c r="H253" s="10"/>
    </row>
    <row r="254" spans="6:8" ht="11.25">
      <c r="F254" s="9"/>
      <c r="G254" s="10"/>
      <c r="H254" s="10"/>
    </row>
    <row r="255" spans="6:8" ht="11.25">
      <c r="F255" s="9"/>
      <c r="G255" s="10"/>
      <c r="H255" s="10"/>
    </row>
    <row r="256" spans="6:8" ht="11.25">
      <c r="F256" s="9"/>
      <c r="G256" s="10"/>
      <c r="H256" s="10"/>
    </row>
    <row r="257" spans="6:8" ht="11.25">
      <c r="F257" s="9"/>
      <c r="G257" s="10"/>
      <c r="H257" s="10"/>
    </row>
    <row r="258" spans="6:8" ht="11.25">
      <c r="F258" s="9"/>
      <c r="G258" s="10"/>
      <c r="H258" s="10"/>
    </row>
    <row r="259" spans="6:8" ht="11.25">
      <c r="F259" s="9"/>
      <c r="G259" s="10"/>
      <c r="H259" s="10"/>
    </row>
    <row r="260" spans="6:8" ht="11.25">
      <c r="F260" s="9"/>
      <c r="G260" s="10"/>
      <c r="H260" s="10"/>
    </row>
    <row r="261" spans="6:8" ht="11.25">
      <c r="F261" s="9"/>
      <c r="G261" s="10"/>
      <c r="H261" s="10"/>
    </row>
    <row r="262" spans="6:8" ht="11.25">
      <c r="F262" s="9"/>
      <c r="G262" s="10"/>
      <c r="H262" s="10"/>
    </row>
    <row r="263" spans="6:8" ht="11.25">
      <c r="F263" s="9"/>
      <c r="G263" s="10"/>
      <c r="H263" s="10"/>
    </row>
    <row r="264" spans="6:8" ht="11.25">
      <c r="F264" s="9"/>
      <c r="G264" s="10"/>
      <c r="H264" s="10"/>
    </row>
    <row r="265" spans="6:8" ht="11.25">
      <c r="F265" s="9"/>
      <c r="G265" s="10"/>
      <c r="H265" s="10"/>
    </row>
    <row r="266" spans="6:8" ht="11.25">
      <c r="F266" s="9"/>
      <c r="G266" s="10"/>
      <c r="H266" s="10"/>
    </row>
    <row r="267" spans="6:8" ht="11.25">
      <c r="F267" s="9"/>
      <c r="G267" s="10"/>
      <c r="H267" s="10"/>
    </row>
    <row r="268" spans="6:8" ht="11.25">
      <c r="F268" s="9"/>
      <c r="G268" s="10"/>
      <c r="H268" s="10"/>
    </row>
    <row r="269" spans="6:8" ht="11.25">
      <c r="F269" s="9"/>
      <c r="G269" s="10"/>
      <c r="H269" s="10"/>
    </row>
    <row r="270" spans="6:8" ht="11.25">
      <c r="F270" s="9"/>
      <c r="G270" s="10"/>
      <c r="H270" s="10"/>
    </row>
    <row r="271" spans="6:8" ht="11.25">
      <c r="F271" s="9"/>
      <c r="G271" s="10"/>
      <c r="H271" s="10"/>
    </row>
    <row r="272" spans="6:8" ht="11.25">
      <c r="F272" s="9"/>
      <c r="G272" s="10"/>
      <c r="H272" s="10"/>
    </row>
    <row r="273" spans="6:8" ht="11.25">
      <c r="F273" s="9"/>
      <c r="G273" s="10"/>
      <c r="H273" s="10"/>
    </row>
    <row r="274" spans="6:8" ht="11.25">
      <c r="F274" s="9"/>
      <c r="G274" s="10"/>
      <c r="H274" s="10"/>
    </row>
    <row r="275" spans="6:8" ht="11.25">
      <c r="F275" s="9"/>
      <c r="G275" s="10"/>
      <c r="H275" s="10"/>
    </row>
    <row r="276" spans="6:8" ht="11.25">
      <c r="F276" s="9"/>
      <c r="G276" s="10"/>
      <c r="H276" s="10"/>
    </row>
    <row r="277" spans="6:8" ht="11.25">
      <c r="F277" s="9"/>
      <c r="G277" s="10"/>
      <c r="H277" s="10"/>
    </row>
    <row r="278" spans="6:8" ht="11.25">
      <c r="F278" s="9"/>
      <c r="G278" s="10"/>
      <c r="H278" s="10"/>
    </row>
    <row r="279" spans="6:8" ht="11.25">
      <c r="F279" s="9"/>
      <c r="G279" s="10"/>
      <c r="H279" s="10"/>
    </row>
    <row r="280" spans="6:8" ht="11.25">
      <c r="F280" s="9"/>
      <c r="G280" s="10"/>
      <c r="H280" s="10"/>
    </row>
    <row r="281" spans="6:8" ht="11.25">
      <c r="F281" s="9"/>
      <c r="G281" s="10"/>
      <c r="H281" s="10"/>
    </row>
    <row r="282" spans="6:8" ht="11.25">
      <c r="F282" s="9"/>
      <c r="G282" s="10"/>
      <c r="H282" s="10"/>
    </row>
    <row r="283" spans="6:8" ht="11.25">
      <c r="F283" s="9"/>
      <c r="G283" s="10"/>
      <c r="H283" s="10"/>
    </row>
    <row r="284" spans="6:8" ht="11.25">
      <c r="F284" s="9"/>
      <c r="G284" s="10"/>
      <c r="H284" s="10"/>
    </row>
    <row r="285" spans="6:8" ht="11.25">
      <c r="F285" s="9"/>
      <c r="G285" s="10"/>
      <c r="H285" s="10"/>
    </row>
    <row r="286" spans="6:8" ht="11.25">
      <c r="F286" s="9"/>
      <c r="G286" s="10"/>
      <c r="H286" s="10"/>
    </row>
    <row r="287" spans="6:8" ht="11.25">
      <c r="F287" s="9"/>
      <c r="G287" s="10"/>
      <c r="H287" s="10"/>
    </row>
    <row r="288" spans="6:8" ht="11.25">
      <c r="F288" s="9"/>
      <c r="G288" s="10"/>
      <c r="H288" s="10"/>
    </row>
    <row r="289" spans="6:8" ht="11.25">
      <c r="F289" s="9"/>
      <c r="G289" s="10"/>
      <c r="H289" s="10"/>
    </row>
    <row r="290" spans="6:8" ht="11.25">
      <c r="F290" s="9"/>
      <c r="G290" s="10"/>
      <c r="H290" s="10"/>
    </row>
    <row r="291" spans="6:8" ht="11.25">
      <c r="F291" s="9"/>
      <c r="G291" s="10"/>
      <c r="H291" s="10"/>
    </row>
    <row r="292" spans="6:8" ht="11.25">
      <c r="F292" s="9"/>
      <c r="G292" s="10"/>
      <c r="H292" s="10"/>
    </row>
    <row r="293" spans="6:8" ht="11.25">
      <c r="F293" s="9"/>
      <c r="G293" s="10"/>
      <c r="H293" s="10"/>
    </row>
    <row r="294" spans="6:8" ht="11.25">
      <c r="F294" s="9"/>
      <c r="G294" s="10"/>
      <c r="H294" s="10"/>
    </row>
    <row r="295" spans="6:8" ht="11.25">
      <c r="F295" s="9"/>
      <c r="G295" s="10"/>
      <c r="H295" s="10"/>
    </row>
    <row r="296" spans="6:8" ht="11.25">
      <c r="F296" s="9"/>
      <c r="G296" s="10"/>
      <c r="H296" s="10"/>
    </row>
    <row r="297" spans="6:8" ht="11.25">
      <c r="F297" s="9"/>
      <c r="G297" s="10"/>
      <c r="H297" s="10"/>
    </row>
    <row r="298" spans="6:8" ht="11.25">
      <c r="F298" s="9"/>
      <c r="G298" s="10"/>
      <c r="H298" s="10"/>
    </row>
    <row r="299" spans="6:8" ht="11.25">
      <c r="F299" s="9"/>
      <c r="G299" s="10"/>
      <c r="H299" s="10"/>
    </row>
    <row r="300" spans="6:8" ht="11.25">
      <c r="F300" s="9"/>
      <c r="G300" s="10"/>
      <c r="H300" s="10"/>
    </row>
    <row r="301" spans="6:8" ht="11.25">
      <c r="F301" s="9"/>
      <c r="G301" s="10"/>
      <c r="H301" s="10"/>
    </row>
    <row r="302" spans="6:8" ht="11.25">
      <c r="F302" s="9"/>
      <c r="G302" s="10"/>
      <c r="H302" s="10"/>
    </row>
    <row r="303" spans="6:8" ht="11.25">
      <c r="F303" s="9"/>
      <c r="G303" s="10"/>
      <c r="H303" s="10"/>
    </row>
    <row r="304" spans="6:8" ht="11.25">
      <c r="F304" s="9"/>
      <c r="G304" s="10"/>
      <c r="H304" s="10"/>
    </row>
    <row r="305" spans="6:8" ht="11.25">
      <c r="F305" s="9"/>
      <c r="G305" s="10"/>
      <c r="H305" s="10"/>
    </row>
    <row r="306" spans="6:8" ht="11.25">
      <c r="F306" s="9"/>
      <c r="G306" s="10"/>
      <c r="H306" s="10"/>
    </row>
    <row r="307" spans="6:8" ht="11.25">
      <c r="F307" s="9"/>
      <c r="G307" s="10"/>
      <c r="H307" s="10"/>
    </row>
    <row r="308" spans="6:8" ht="11.25">
      <c r="F308" s="9"/>
      <c r="G308" s="10"/>
      <c r="H308" s="10"/>
    </row>
    <row r="309" spans="6:8" ht="11.25">
      <c r="F309" s="9"/>
      <c r="G309" s="10"/>
      <c r="H309" s="10"/>
    </row>
    <row r="310" spans="6:8" ht="11.25">
      <c r="F310" s="9"/>
      <c r="G310" s="10"/>
      <c r="H310" s="10"/>
    </row>
    <row r="311" spans="6:8" ht="11.25">
      <c r="F311" s="9"/>
      <c r="G311" s="10"/>
      <c r="H311" s="10"/>
    </row>
    <row r="312" spans="6:8" ht="11.25">
      <c r="F312" s="9"/>
      <c r="G312" s="10"/>
      <c r="H312" s="10"/>
    </row>
    <row r="313" spans="6:8" ht="11.25">
      <c r="F313" s="9"/>
      <c r="G313" s="10"/>
      <c r="H313" s="10"/>
    </row>
    <row r="314" spans="6:8" ht="11.25">
      <c r="F314" s="9"/>
      <c r="G314" s="10"/>
      <c r="H314" s="10"/>
    </row>
    <row r="315" spans="6:8" ht="11.25">
      <c r="F315" s="9"/>
      <c r="G315" s="10"/>
      <c r="H315" s="10"/>
    </row>
    <row r="316" spans="6:8" ht="11.25">
      <c r="F316" s="9"/>
      <c r="G316" s="10"/>
      <c r="H316" s="10"/>
    </row>
    <row r="317" spans="6:8" ht="11.25">
      <c r="F317" s="9"/>
      <c r="G317" s="10"/>
      <c r="H317" s="10"/>
    </row>
    <row r="318" spans="6:8" ht="11.25">
      <c r="F318" s="9"/>
      <c r="G318" s="10"/>
      <c r="H318" s="10"/>
    </row>
  </sheetData>
  <sheetProtection/>
  <mergeCells count="2">
    <mergeCell ref="A1:O2"/>
    <mergeCell ref="B221:N221"/>
  </mergeCells>
  <printOptions/>
  <pageMargins left="0" right="0" top="0.44" bottom="0.89" header="0.28" footer="0.55"/>
  <pageSetup horizontalDpi="600" verticalDpi="600" orientation="landscape" paperSize="9" scale="94" r:id="rId1"/>
  <headerFooter alignWithMargins="0">
    <oddHeader>&amp;REZ/473/EM/19</oddHeader>
    <oddFooter>&amp;L&amp;8UWAGA! Wszystkie ceny należy podawać z dokładnością do dwóch miejsc po przecinku i powinny być liczbą dodatnią, tj. liczbą większą od zera.&amp;C
&amp;R&amp;P</oddFooter>
  </headerFooter>
  <rowBreaks count="11" manualBreakCount="11">
    <brk id="29" max="14" man="1"/>
    <brk id="53" max="14" man="1"/>
    <brk id="75" max="14" man="1"/>
    <brk id="100" max="14" man="1"/>
    <brk id="127" max="14" man="1"/>
    <brk id="151" max="14" man="1"/>
    <brk id="173" max="14" man="1"/>
    <brk id="195" max="14" man="1"/>
    <brk id="216" max="14" man="1"/>
    <brk id="224" max="14" man="1"/>
    <brk id="234" max="14" man="1"/>
  </rowBreaks>
  <ignoredErrors>
    <ignoredError sqref="C88 C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Kryś</dc:creator>
  <cp:keywords/>
  <dc:description/>
  <cp:lastModifiedBy>Zofia Dombrowska</cp:lastModifiedBy>
  <cp:lastPrinted>2019-09-23T10:54:38Z</cp:lastPrinted>
  <dcterms:created xsi:type="dcterms:W3CDTF">2018-12-13T13:03:35Z</dcterms:created>
  <dcterms:modified xsi:type="dcterms:W3CDTF">2019-10-09T12:20:20Z</dcterms:modified>
  <cp:category/>
  <cp:version/>
  <cp:contentType/>
  <cp:contentStatus/>
</cp:coreProperties>
</file>